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927"/>
  <workbookPr showInkAnnotation="0" autoCompressPictures="0"/>
  <mc:AlternateContent xmlns:mc="http://schemas.openxmlformats.org/markup-compatibility/2006">
    <mc:Choice Requires="x15">
      <x15ac:absPath xmlns:x15ac="http://schemas.microsoft.com/office/spreadsheetml/2010/11/ac" url="C:\Users\Allen Yessman\Desktop\"/>
    </mc:Choice>
  </mc:AlternateContent>
  <bookViews>
    <workbookView xWindow="0" yWindow="0" windowWidth="23040" windowHeight="8916" tabRatio="818"/>
  </bookViews>
  <sheets>
    <sheet name="Cover Sheet" sheetId="15" r:id="rId1"/>
    <sheet name="Instructions" sheetId="13" r:id="rId2"/>
    <sheet name="1-Hist" sheetId="14" r:id="rId3"/>
    <sheet name="2-IS" sheetId="1" r:id="rId4"/>
    <sheet name="3-BS" sheetId="5" r:id="rId5"/>
    <sheet name="4-SCF" sheetId="6" r:id="rId6"/>
    <sheet name="1-Short-Term" sheetId="7" r:id="rId7"/>
    <sheet name="2-Long-Term" sheetId="8" r:id="rId8"/>
    <sheet name="3-Profitability" sheetId="9" r:id="rId9"/>
    <sheet name="4-DuPont Analysis" sheetId="10" r:id="rId10"/>
    <sheet name="5-Stock" sheetId="12" r:id="rId11"/>
  </sheets>
  <definedNames>
    <definedName name="EV__LASTREFTIME__" hidden="1">42608.435625</definedName>
    <definedName name="_xlnm.Print_Area" localSheetId="2">'1-Hist'!$A$1:$M$24</definedName>
    <definedName name="_xlnm.Print_Area" localSheetId="6">'1-Short-Term'!$A$1:$P$32</definedName>
    <definedName name="_xlnm.Print_Area" localSheetId="3">'2-IS'!$A$1:$H$31</definedName>
    <definedName name="_xlnm.Print_Area" localSheetId="7">'2-Long-Term'!$A$1:$Q$25</definedName>
    <definedName name="_xlnm.Print_Area" localSheetId="4">'3-BS'!$A$1:$H$54</definedName>
    <definedName name="_xlnm.Print_Area" localSheetId="8">'3-Profitability'!$A$1:$P$44</definedName>
    <definedName name="_xlnm.Print_Area" localSheetId="9">'4-DuPont Analysis'!$A$1:$O$10</definedName>
    <definedName name="_xlnm.Print_Area" localSheetId="5">'4-SCF'!$A$1:$M$53</definedName>
    <definedName name="_xlnm.Print_Area" localSheetId="10">'5-Stock'!$A$1:$P$31</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B8" i="14" l="1"/>
  <c r="I8" i="14"/>
  <c r="G8" i="14"/>
  <c r="E8" i="14"/>
  <c r="J7" i="14"/>
  <c r="J8" i="14" s="1"/>
  <c r="H7" i="14"/>
  <c r="H8" i="14" s="1"/>
  <c r="D7" i="14"/>
  <c r="D8" i="14" s="1"/>
  <c r="B7" i="14"/>
  <c r="F7" i="14"/>
  <c r="F8" i="14" s="1"/>
  <c r="J6" i="14"/>
  <c r="H6" i="14"/>
  <c r="F6" i="14"/>
  <c r="D6" i="14"/>
  <c r="B6" i="14"/>
  <c r="J5" i="14"/>
  <c r="H5" i="14"/>
  <c r="F5" i="14"/>
  <c r="D5" i="14"/>
  <c r="V2" i="12" l="1"/>
  <c r="V2" i="10"/>
  <c r="V2" i="9"/>
  <c r="B28" i="15" s="1"/>
  <c r="V2" i="8"/>
  <c r="W2" i="7"/>
  <c r="F3" i="12" l="1"/>
  <c r="E3" i="12"/>
  <c r="B30" i="15" l="1"/>
  <c r="A1" i="1"/>
  <c r="H12" i="14"/>
  <c r="B29" i="15" l="1"/>
  <c r="B31" i="15" s="1"/>
  <c r="D31" i="15" s="1"/>
  <c r="C24" i="15" s="1"/>
  <c r="B26" i="15" s="1"/>
  <c r="O18" i="15" s="1"/>
  <c r="A50" i="5"/>
  <c r="A1" i="5"/>
  <c r="A1" i="6"/>
  <c r="C37" i="5"/>
  <c r="C42" i="5" s="1"/>
  <c r="C54" i="5" s="1"/>
  <c r="E37" i="5"/>
  <c r="E42" i="5" s="1"/>
  <c r="E54" i="5" s="1"/>
  <c r="G37" i="5"/>
  <c r="G42" i="5" s="1"/>
  <c r="G54" i="5" s="1"/>
  <c r="H37" i="5"/>
  <c r="H42" i="5" s="1"/>
  <c r="B10" i="5" l="1"/>
  <c r="B48" i="6" s="1"/>
  <c r="D10" i="5"/>
  <c r="D48" i="6" s="1"/>
  <c r="F10" i="5"/>
  <c r="F48" i="6" s="1"/>
  <c r="H51" i="5"/>
  <c r="F51" i="5"/>
  <c r="D51" i="5"/>
  <c r="B51" i="5"/>
  <c r="C8" i="1"/>
  <c r="E8" i="1"/>
  <c r="G8" i="1"/>
  <c r="H10" i="1"/>
  <c r="O27" i="1"/>
  <c r="O23" i="1"/>
  <c r="O22" i="1"/>
  <c r="O21" i="1"/>
  <c r="O16" i="1"/>
  <c r="O15" i="1"/>
  <c r="O8" i="1"/>
  <c r="D12" i="14"/>
  <c r="B12" i="14"/>
  <c r="F12" i="14"/>
  <c r="H52" i="6"/>
  <c r="H47" i="6"/>
  <c r="F46" i="6" s="1"/>
  <c r="F27" i="1"/>
  <c r="D27" i="1" s="1"/>
  <c r="F23" i="1"/>
  <c r="D23" i="1" s="1"/>
  <c r="F22" i="1"/>
  <c r="F21" i="1"/>
  <c r="D21" i="1" s="1"/>
  <c r="F16" i="1"/>
  <c r="D16" i="1" s="1"/>
  <c r="B16" i="1" s="1"/>
  <c r="F15" i="1"/>
  <c r="F8" i="1"/>
  <c r="F10" i="1" s="1"/>
  <c r="C3" i="12"/>
  <c r="D3" i="12"/>
  <c r="B3" i="12"/>
  <c r="C3" i="10"/>
  <c r="D3" i="10"/>
  <c r="B3" i="10"/>
  <c r="C3" i="9"/>
  <c r="D3" i="9"/>
  <c r="E3" i="9"/>
  <c r="B3" i="9"/>
  <c r="C3" i="8"/>
  <c r="D3" i="8"/>
  <c r="E3" i="8"/>
  <c r="B3" i="8"/>
  <c r="C3" i="7"/>
  <c r="D3" i="7"/>
  <c r="E3" i="7"/>
  <c r="B3" i="7"/>
  <c r="D7" i="6"/>
  <c r="F7" i="6"/>
  <c r="H7" i="6"/>
  <c r="B7" i="6"/>
  <c r="D6" i="5"/>
  <c r="F6" i="5"/>
  <c r="H6" i="5"/>
  <c r="B6" i="5"/>
  <c r="D7" i="1"/>
  <c r="F7" i="1"/>
  <c r="H7" i="1"/>
  <c r="B7" i="1"/>
  <c r="F52" i="6" l="1"/>
  <c r="D37" i="5"/>
  <c r="F37" i="5"/>
  <c r="B37" i="5"/>
  <c r="D19" i="5"/>
  <c r="B19" i="5"/>
  <c r="H48" i="6"/>
  <c r="M22" i="1"/>
  <c r="M15" i="1"/>
  <c r="M16" i="1"/>
  <c r="M27" i="1"/>
  <c r="M21" i="1"/>
  <c r="M23" i="1"/>
  <c r="B23" i="1"/>
  <c r="D52" i="6"/>
  <c r="D15" i="1"/>
  <c r="B21" i="1"/>
  <c r="B27" i="1"/>
  <c r="M8" i="1"/>
  <c r="D22" i="1"/>
  <c r="D8" i="1"/>
  <c r="F42" i="5" l="1"/>
  <c r="D42" i="5"/>
  <c r="B42" i="5"/>
  <c r="C19" i="5"/>
  <c r="K23" i="1"/>
  <c r="D10" i="1"/>
  <c r="K27" i="1"/>
  <c r="B22" i="1"/>
  <c r="B25" i="1" s="1"/>
  <c r="K22" i="1"/>
  <c r="D25" i="1"/>
  <c r="K25" i="1" s="1"/>
  <c r="D17" i="1"/>
  <c r="K17" i="1" s="1"/>
  <c r="K15" i="1"/>
  <c r="B15" i="1"/>
  <c r="B52" i="6"/>
  <c r="K8" i="1"/>
  <c r="D12" i="1"/>
  <c r="K16" i="1"/>
  <c r="B8" i="1"/>
  <c r="K21" i="1"/>
  <c r="D15" i="5"/>
  <c r="D23" i="5" s="1"/>
  <c r="I25" i="1" l="1"/>
  <c r="B10" i="1"/>
  <c r="I8" i="1"/>
  <c r="I16" i="1"/>
  <c r="I27" i="1"/>
  <c r="I22" i="1"/>
  <c r="I21" i="1"/>
  <c r="D18" i="1"/>
  <c r="K12" i="1"/>
  <c r="B17" i="1"/>
  <c r="I17" i="1" s="1"/>
  <c r="I15" i="1"/>
  <c r="I23" i="1"/>
  <c r="B15" i="5"/>
  <c r="B4" i="7" s="1"/>
  <c r="F15" i="5"/>
  <c r="F19" i="5"/>
  <c r="F12" i="1"/>
  <c r="M12" i="1" s="1"/>
  <c r="F25" i="1"/>
  <c r="H15" i="5"/>
  <c r="H19" i="5"/>
  <c r="C17" i="1"/>
  <c r="H12" i="1"/>
  <c r="O12" i="1" s="1"/>
  <c r="H17" i="1"/>
  <c r="O17" i="1" s="1"/>
  <c r="H25" i="1"/>
  <c r="O25" i="1" s="1"/>
  <c r="H41" i="6"/>
  <c r="F41" i="6"/>
  <c r="D41" i="6"/>
  <c r="B41" i="6"/>
  <c r="H31" i="6"/>
  <c r="F31" i="6"/>
  <c r="D31" i="6"/>
  <c r="B31" i="6"/>
  <c r="B23" i="5" l="1"/>
  <c r="C23" i="5" s="1"/>
  <c r="C15" i="5"/>
  <c r="D26" i="1"/>
  <c r="K18" i="1"/>
  <c r="G25" i="1"/>
  <c r="M25" i="1"/>
  <c r="E25" i="1"/>
  <c r="C25" i="1"/>
  <c r="E12" i="1"/>
  <c r="G12" i="1"/>
  <c r="E19" i="5"/>
  <c r="G19" i="5"/>
  <c r="G15" i="5"/>
  <c r="F23" i="5"/>
  <c r="E23" i="5" s="1"/>
  <c r="H23" i="5"/>
  <c r="E15" i="5"/>
  <c r="H18" i="1"/>
  <c r="H26" i="1" l="1"/>
  <c r="O26" i="1" s="1"/>
  <c r="O18" i="1"/>
  <c r="D28" i="1"/>
  <c r="K26" i="1"/>
  <c r="G23" i="5"/>
  <c r="H28" i="1"/>
  <c r="H36" i="1" s="1"/>
  <c r="H48" i="5" l="1"/>
  <c r="H50" i="5" s="1"/>
  <c r="H52" i="5" s="1"/>
  <c r="H47" i="5"/>
  <c r="D36" i="1"/>
  <c r="O28" i="1"/>
  <c r="H9" i="6"/>
  <c r="H24" i="6" s="1"/>
  <c r="D9" i="6"/>
  <c r="K28" i="1"/>
  <c r="H54" i="5" l="1"/>
  <c r="D48" i="5"/>
  <c r="D50" i="5" s="1"/>
  <c r="D52" i="5" s="1"/>
  <c r="D47" i="5"/>
  <c r="H43" i="6"/>
  <c r="F17" i="1"/>
  <c r="H57" i="5" l="1"/>
  <c r="H56" i="5"/>
  <c r="E17" i="1"/>
  <c r="M17" i="1"/>
  <c r="G17" i="1"/>
  <c r="F18" i="1"/>
  <c r="M18" i="1" s="1"/>
  <c r="D54" i="5" l="1"/>
  <c r="G18" i="1"/>
  <c r="F26" i="1"/>
  <c r="M26" i="1" s="1"/>
  <c r="E18" i="1"/>
  <c r="D57" i="5" l="1"/>
  <c r="D56" i="5"/>
  <c r="G26" i="1"/>
  <c r="E26" i="1"/>
  <c r="F28" i="1"/>
  <c r="F36" i="1" s="1"/>
  <c r="F48" i="5" l="1"/>
  <c r="F50" i="5" s="1"/>
  <c r="F47" i="5"/>
  <c r="G28" i="1"/>
  <c r="F9" i="6"/>
  <c r="M28" i="1"/>
  <c r="E28" i="1"/>
  <c r="F52" i="5" l="1"/>
  <c r="F54" i="5"/>
  <c r="F24" i="6"/>
  <c r="F56" i="5" l="1"/>
  <c r="F57" i="5"/>
  <c r="F43" i="6"/>
  <c r="D46" i="6" l="1"/>
  <c r="D24" i="6" l="1"/>
  <c r="D43" i="6" s="1"/>
  <c r="B46" i="6" l="1"/>
  <c r="B12" i="1" l="1"/>
  <c r="C12" i="1" s="1"/>
  <c r="B18" i="1" l="1"/>
  <c r="I12" i="1"/>
  <c r="B26" i="1"/>
  <c r="C18" i="1"/>
  <c r="I18" i="1" l="1"/>
  <c r="I26" i="1"/>
  <c r="C26" i="1"/>
  <c r="B28" i="1"/>
  <c r="B36" i="1" s="1"/>
  <c r="B47" i="5" l="1"/>
  <c r="B48" i="5"/>
  <c r="B50" i="5" s="1"/>
  <c r="B52" i="5" s="1"/>
  <c r="C28" i="1"/>
  <c r="B9" i="6"/>
  <c r="B24" i="6" s="1"/>
  <c r="I28" i="1"/>
  <c r="B43" i="6" l="1"/>
  <c r="B54" i="5" l="1"/>
  <c r="B57" i="5" s="1"/>
  <c r="B56" i="5" l="1"/>
</calcChain>
</file>

<file path=xl/sharedStrings.xml><?xml version="1.0" encoding="utf-8"?>
<sst xmlns="http://schemas.openxmlformats.org/spreadsheetml/2006/main" count="387" uniqueCount="322">
  <si>
    <t xml:space="preserve"> </t>
  </si>
  <si>
    <t>NET SALES</t>
  </si>
  <si>
    <t>GROSS PROFIT</t>
  </si>
  <si>
    <t/>
  </si>
  <si>
    <t>Operating Expenses:</t>
  </si>
  <si>
    <t>Selling, General and Administrative</t>
  </si>
  <si>
    <t>Depreciation and Amortization</t>
  </si>
  <si>
    <t>Total Operating Expenses</t>
  </si>
  <si>
    <t>OPERATING INCOME</t>
  </si>
  <si>
    <t>Interest and Other (Income) Expense:</t>
  </si>
  <si>
    <t>Interest and Investment Income</t>
  </si>
  <si>
    <t>Interest Expense</t>
  </si>
  <si>
    <t>Other</t>
  </si>
  <si>
    <t>Interest and Other, net</t>
  </si>
  <si>
    <t>Provision for Income Taxes</t>
  </si>
  <si>
    <t>Cost of sales</t>
  </si>
  <si>
    <t>Earnings before income taxes</t>
  </si>
  <si>
    <t>NET EARNINGS</t>
  </si>
  <si>
    <t>As of</t>
  </si>
  <si>
    <t>ASSETS</t>
  </si>
  <si>
    <t>Current assets:</t>
  </si>
  <si>
    <t>Cash and cash equivalents</t>
  </si>
  <si>
    <t>Accounts receivable, net</t>
  </si>
  <si>
    <t>Other assets</t>
  </si>
  <si>
    <t>Goodwill</t>
  </si>
  <si>
    <t>TOTAL ASSETS</t>
  </si>
  <si>
    <t>LIABILITIES AND SHAREHOLDERS EQUITY</t>
  </si>
  <si>
    <t>Current liabilities:</t>
  </si>
  <si>
    <t>Accounts payable</t>
  </si>
  <si>
    <t>Deferred revenue</t>
  </si>
  <si>
    <t>Other long-term liabilities</t>
  </si>
  <si>
    <t>Total liabilities</t>
  </si>
  <si>
    <t>Shareholders equity:</t>
  </si>
  <si>
    <t>Retained earnings</t>
  </si>
  <si>
    <t>Total shareholders equity</t>
  </si>
  <si>
    <t>TOTAL LIABILITIES AND SHAREHOLDERS EQUITY</t>
  </si>
  <si>
    <t>Merechandise inventories</t>
  </si>
  <si>
    <t>Other current assets</t>
  </si>
  <si>
    <t>Property &amp; Equipment, at cost</t>
  </si>
  <si>
    <t>Less Accumulated Depreciation and Amortization</t>
  </si>
  <si>
    <t>Net Property &amp; Equipment</t>
  </si>
  <si>
    <t>Total Current Assets</t>
  </si>
  <si>
    <t>Accrued salaries &amp; related expenses</t>
  </si>
  <si>
    <t>Sales taxes payable</t>
  </si>
  <si>
    <t>Income taxes payable</t>
  </si>
  <si>
    <t>Current installments of long-term debt</t>
  </si>
  <si>
    <t>Other accrued expenses</t>
  </si>
  <si>
    <t>Deferred income taxes</t>
  </si>
  <si>
    <t xml:space="preserve">Common stock </t>
  </si>
  <si>
    <t>Paid-in capital</t>
  </si>
  <si>
    <t>Treasury stock, at cost</t>
  </si>
  <si>
    <t>OPERATING ACTIVITIES:</t>
  </si>
  <si>
    <t>Adjustments to reconcile net earnings to net cash provided by operating activities:</t>
  </si>
  <si>
    <t>Depreciation and amortization</t>
  </si>
  <si>
    <t>Net cash provided by operating activities</t>
  </si>
  <si>
    <t>INVESTING ACTIVITIES:</t>
  </si>
  <si>
    <t>Net cash used by investing activities</t>
  </si>
  <si>
    <t>FINANCING ACTIVITIES:</t>
  </si>
  <si>
    <t>Net cash used by financing activities</t>
  </si>
  <si>
    <t>Effect of exchange rate changes on cash and cash equivalents</t>
  </si>
  <si>
    <t>Interest, net of capitalized interest</t>
  </si>
  <si>
    <t>Income taxes</t>
  </si>
  <si>
    <t>Net earnings</t>
  </si>
  <si>
    <t>Stock-based compensation expense</t>
  </si>
  <si>
    <t>Changes in Assets and Liabilities, net of the effects of acquisition and disposition</t>
  </si>
  <si>
    <t>Receivables, net</t>
  </si>
  <si>
    <t>Merchandise inventories</t>
  </si>
  <si>
    <t>Accounts payable and accrued expenses</t>
  </si>
  <si>
    <t>Capital expenditures</t>
  </si>
  <si>
    <t>Proceeds from long-term borrowings, net of discount</t>
  </si>
  <si>
    <t>Repayments of long-term debt</t>
  </si>
  <si>
    <t>Repurchases of common stock</t>
  </si>
  <si>
    <t>Proceeds from sales of common stock</t>
  </si>
  <si>
    <t>Cash dividends paid to stockholders</t>
  </si>
  <si>
    <t>Other financing activities</t>
  </si>
  <si>
    <t>Change in Cash and Cash Equivalents</t>
  </si>
  <si>
    <t>Cash and cash equivalents at beginning of year</t>
  </si>
  <si>
    <t>Cash and cash equivalents at end of year</t>
  </si>
  <si>
    <t>SUPPLEMENTAL DISCLOSURE OF CASH PAYMENTS MADE FOR</t>
  </si>
  <si>
    <t>Accumulated other comprehensive income (loss)</t>
  </si>
  <si>
    <t>Dividends per share</t>
  </si>
  <si>
    <t>$ in millions</t>
  </si>
  <si>
    <t>Proceeds from sales of property &amp; equipment</t>
  </si>
  <si>
    <t>Short-term debt</t>
  </si>
  <si>
    <t>Proceeds from sales of investments</t>
  </si>
  <si>
    <t>Payments for business acquired</t>
  </si>
  <si>
    <t>Proceeds from short-term borrowings, net</t>
  </si>
  <si>
    <t>Fiscal Year Ended</t>
  </si>
  <si>
    <t>Current ratio</t>
  </si>
  <si>
    <t>Working capital</t>
  </si>
  <si>
    <t>Acid-test ratio</t>
  </si>
  <si>
    <t>Inventory turnover (times)</t>
  </si>
  <si>
    <t>Accounts receivable turnover (times)</t>
  </si>
  <si>
    <t>Free cash flow</t>
  </si>
  <si>
    <t>Average inventory</t>
  </si>
  <si>
    <t>Average A/R</t>
  </si>
  <si>
    <t>Interest coverage</t>
  </si>
  <si>
    <t>Long term liabilities</t>
  </si>
  <si>
    <t>Asset turnover</t>
  </si>
  <si>
    <t>Return on sales</t>
  </si>
  <si>
    <t>Gross margin %</t>
  </si>
  <si>
    <t>Return on assets</t>
  </si>
  <si>
    <t>Return on equity</t>
  </si>
  <si>
    <t>Average interest rate</t>
  </si>
  <si>
    <t>Average total assets</t>
  </si>
  <si>
    <t>Income tax rate</t>
  </si>
  <si>
    <t>Net of tax interest expense</t>
  </si>
  <si>
    <t>Average equity</t>
  </si>
  <si>
    <t>Average total liabilities</t>
  </si>
  <si>
    <t>Return on assets (calculated)</t>
  </si>
  <si>
    <t xml:space="preserve">Return on sales </t>
  </si>
  <si>
    <t>Product</t>
  </si>
  <si>
    <t>Book value per common share</t>
  </si>
  <si>
    <t>Earnings per share (basic)</t>
  </si>
  <si>
    <t>Earnings per share (diluted)</t>
  </si>
  <si>
    <t>P/E Ratio</t>
  </si>
  <si>
    <t>Dividend yield</t>
  </si>
  <si>
    <t>Dividend payout</t>
  </si>
  <si>
    <t>Common shares outstanding (millions)</t>
  </si>
  <si>
    <t>Adjusted closing price</t>
  </si>
  <si>
    <t>Gain on sales of investments</t>
  </si>
  <si>
    <t>Calculate the Ratios Below:</t>
  </si>
  <si>
    <t>Historical Stock Prices</t>
  </si>
  <si>
    <t>Adjusted Closing Price</t>
  </si>
  <si>
    <t>Common Shares Outstanding (millions)</t>
  </si>
  <si>
    <t xml:space="preserve">Be sure to show your work in each cell </t>
  </si>
  <si>
    <t>Need to fill in these blanks with the ratio calculations required</t>
  </si>
  <si>
    <t>Need to fill in these blanks with the ratio callculations required</t>
  </si>
  <si>
    <t>Be sure to show your work in each cell either cell references or numbers used</t>
  </si>
  <si>
    <t>Income Statements</t>
  </si>
  <si>
    <t>Balance Sheets</t>
  </si>
  <si>
    <t>Statements of Cash Flows</t>
  </si>
  <si>
    <t>For the Years Ended</t>
  </si>
  <si>
    <t>Current Ratio =</t>
  </si>
  <si>
    <t>Working Capital =</t>
  </si>
  <si>
    <t>Current Assets - Current Liabilities</t>
  </si>
  <si>
    <t>Acid-Test Ratio =</t>
  </si>
  <si>
    <t>Inventory Turnover (Times) =</t>
  </si>
  <si>
    <t>Average Inventory =</t>
  </si>
  <si>
    <t>Days Sales In Inventory =</t>
  </si>
  <si>
    <t>Accounts Receivable Turnover (Times) =</t>
  </si>
  <si>
    <t>Average Accounts Receivable =</t>
  </si>
  <si>
    <t>Days Sales In Accounts Receivable =</t>
  </si>
  <si>
    <r>
      <t xml:space="preserve">(Beginning Finished Goods Inventory + Ending Finished Goods Inventory) </t>
    </r>
    <r>
      <rPr>
        <sz val="11"/>
        <rFont val="Calibri"/>
        <family val="2"/>
      </rPr>
      <t>÷ 2</t>
    </r>
  </si>
  <si>
    <t>(Beginning Accounts Receivable + Ending Accounts Receivable) ÷ 2</t>
  </si>
  <si>
    <t>(If you don’t know the credit sales ratio to total sales use total net Sales)</t>
  </si>
  <si>
    <t>Free Cash Flow =</t>
  </si>
  <si>
    <t>Operating Cash Flow - Amounts spent on Capital Expenditures</t>
  </si>
  <si>
    <t>Accounting Principles Board Opionion 19 -1971 - Statement of Changes in Financial Position</t>
  </si>
  <si>
    <t>Financial Accounting Standards Board Statement 95 - 1987</t>
  </si>
  <si>
    <t>(Simple Formula)</t>
  </si>
  <si>
    <t>Liquidity Ratios</t>
  </si>
  <si>
    <t>Solvency Ratios</t>
  </si>
  <si>
    <t>Debt to Equity =</t>
  </si>
  <si>
    <r>
      <t xml:space="preserve">Long Term Liabilities </t>
    </r>
    <r>
      <rPr>
        <sz val="11"/>
        <rFont val="Calibri"/>
        <family val="2"/>
      </rPr>
      <t>÷</t>
    </r>
    <r>
      <rPr>
        <sz val="11"/>
        <rFont val="Arial"/>
        <family val="2"/>
      </rPr>
      <t xml:space="preserve"> Total Stockholders' Equity</t>
    </r>
  </si>
  <si>
    <t>Book shows this as</t>
  </si>
  <si>
    <r>
      <t xml:space="preserve">Total Liabilities </t>
    </r>
    <r>
      <rPr>
        <i/>
        <sz val="10"/>
        <color rgb="FFFF0000"/>
        <rFont val="Calibri"/>
        <family val="2"/>
      </rPr>
      <t>÷</t>
    </r>
    <r>
      <rPr>
        <i/>
        <sz val="10"/>
        <color rgb="FFFF0000"/>
        <rFont val="Arial"/>
        <family val="2"/>
      </rPr>
      <t xml:space="preserve"> Total Stockholders' Equity</t>
    </r>
  </si>
  <si>
    <t>Near Term Paying Ability (Comparative)</t>
  </si>
  <si>
    <t>Near Term Paying Ability (Absolute)</t>
  </si>
  <si>
    <t>Very Near Term Paying Ability (Comparative)</t>
  </si>
  <si>
    <t>Efficiency of Inventory Management</t>
  </si>
  <si>
    <t>Liquidity of Inventory</t>
  </si>
  <si>
    <t>Liquidity of Receivables</t>
  </si>
  <si>
    <t>Efficiency of Receivabale Collection</t>
  </si>
  <si>
    <t>Cash Remaining for Anything the company chooses</t>
  </si>
  <si>
    <t>Asset Turnover =</t>
  </si>
  <si>
    <t>Return on Sales =</t>
  </si>
  <si>
    <t>Gross Margin Ratio =</t>
  </si>
  <si>
    <t>Return on Assets =</t>
  </si>
  <si>
    <t>Return on Equity =</t>
  </si>
  <si>
    <t>Average Interest Rate =</t>
  </si>
  <si>
    <t>Net Sales / Average Total Assets</t>
  </si>
  <si>
    <t>Net Income + Net of Tax Interest Expense / Net Sales</t>
  </si>
  <si>
    <t>(Net Sales - Cost of Goods Sold) / Net Sales</t>
  </si>
  <si>
    <t>Book Shows</t>
  </si>
  <si>
    <t>(Net Income - Cost of Goods Sold) / Net Sales</t>
  </si>
  <si>
    <t>This is incorrect!!!</t>
  </si>
  <si>
    <t>Net Income / Average Stockholders' Equity</t>
  </si>
  <si>
    <t>Average Stockholders' Equity =</t>
  </si>
  <si>
    <t>(Beginning Stockholders' Equity + Ending Stockholders' Equity) / 2</t>
  </si>
  <si>
    <t>Interest Expense / Average Total Liabilities</t>
  </si>
  <si>
    <t>Average Total Liabilities =</t>
  </si>
  <si>
    <t>(Beginning Total Liabilities + Ending Total Liabilities) / 2</t>
  </si>
  <si>
    <t>Average Total Assets =</t>
  </si>
  <si>
    <t>(Beginning Total Assets + Ending Total Assets) / 2</t>
  </si>
  <si>
    <t>Efficiency of Total Assets</t>
  </si>
  <si>
    <t>Profitability of Sales with Given Assets</t>
  </si>
  <si>
    <t>Gross Profit per Sales Dollar</t>
  </si>
  <si>
    <t>Profitability of Assets</t>
  </si>
  <si>
    <t>Profitability of Shareholders' Investment</t>
  </si>
  <si>
    <t>Interest Rate paid on total debt</t>
  </si>
  <si>
    <t>Income Tax Rate =</t>
  </si>
  <si>
    <t>1- Income Tax Rate =</t>
  </si>
  <si>
    <t>Net of Tax Interest Expense =</t>
  </si>
  <si>
    <t>1- Income Tax Rate x Interest Expense</t>
  </si>
  <si>
    <t>Net Earnings - Net of Tax Interest Expense</t>
  </si>
  <si>
    <t>Provision for Income Tax / Earnings Before Income Taxes</t>
  </si>
  <si>
    <t>1 - Income Tax Rate</t>
  </si>
  <si>
    <t>Gives Investor knowledge of the rate they are paying overall for income taxes</t>
  </si>
  <si>
    <t>Interest is an expense we want to add back</t>
  </si>
  <si>
    <t>On the income statement it is shown net of tax</t>
  </si>
  <si>
    <t>Therefore we have to add back the tax effect</t>
  </si>
  <si>
    <t>to make it comparable to operating income</t>
  </si>
  <si>
    <t>Net Earnings - Net of Tax Interest Expense =</t>
  </si>
  <si>
    <t>Book value per common share =</t>
  </si>
  <si>
    <t>Earnings per share (basic) =</t>
  </si>
  <si>
    <t>Earnings per share (diluted) =</t>
  </si>
  <si>
    <t>P/E Ratio =</t>
  </si>
  <si>
    <t>Dividend yield =</t>
  </si>
  <si>
    <t>Dividend payout =</t>
  </si>
  <si>
    <r>
      <t xml:space="preserve">Shareholders' Equity </t>
    </r>
    <r>
      <rPr>
        <sz val="11"/>
        <color rgb="FFFF0000"/>
        <rFont val="Arial"/>
        <family val="2"/>
      </rPr>
      <t>for Common Shares</t>
    </r>
    <r>
      <rPr>
        <sz val="11"/>
        <rFont val="Arial"/>
        <family val="2"/>
      </rPr>
      <t xml:space="preserve"> / Number of Common Shares Outstanding</t>
    </r>
  </si>
  <si>
    <t>Interest Coverage =</t>
  </si>
  <si>
    <t>Operating Income / Interest Expense</t>
  </si>
  <si>
    <t>Since in this example interest is not shown net of tax (it is shown before operating income), we can just use operating income here</t>
  </si>
  <si>
    <t xml:space="preserve">(or earnings before income tax which is the same thing) as the numerator </t>
  </si>
  <si>
    <t>Ratio</t>
  </si>
  <si>
    <t>How to Calculate Ratio</t>
  </si>
  <si>
    <t>Meaning of Ratio</t>
  </si>
  <si>
    <t>Ratio of Creditor vs Owner Financing</t>
  </si>
  <si>
    <t>Shows how easily interest can be paid on outstanding debt</t>
  </si>
  <si>
    <t>less than 1 may be a problem</t>
  </si>
  <si>
    <t>Net Income / Average Number of Common Shares Outstanding</t>
  </si>
  <si>
    <t>Net Income / Average Number of Common Shares Outstanding + Dirivitive Shares</t>
  </si>
  <si>
    <r>
      <t xml:space="preserve">Cash Dividends / Common Share </t>
    </r>
    <r>
      <rPr>
        <sz val="11"/>
        <rFont val="Calibri"/>
        <family val="2"/>
      </rPr>
      <t>÷</t>
    </r>
    <r>
      <rPr>
        <sz val="11"/>
        <rFont val="Arial"/>
        <family val="2"/>
      </rPr>
      <t xml:space="preserve"> Market Price / Common Share</t>
    </r>
  </si>
  <si>
    <r>
      <t xml:space="preserve">Cash Dividends / Common Share </t>
    </r>
    <r>
      <rPr>
        <sz val="11"/>
        <rFont val="Calibri"/>
        <family val="2"/>
      </rPr>
      <t>÷</t>
    </r>
    <r>
      <rPr>
        <sz val="11"/>
        <rFont val="Arial"/>
        <family val="2"/>
      </rPr>
      <t xml:space="preserve"> Earnings / Common Share</t>
    </r>
  </si>
  <si>
    <t>Liquidation Price/Common Share</t>
  </si>
  <si>
    <t>Income per Common Share</t>
  </si>
  <si>
    <t>Market Value Multiple of Earnings</t>
  </si>
  <si>
    <t>Cash Return of Market Price</t>
  </si>
  <si>
    <t>Payout % of Earnings</t>
  </si>
  <si>
    <t xml:space="preserve">Book value of equity </t>
  </si>
  <si>
    <t xml:space="preserve">Common shares outstanding (millions) </t>
  </si>
  <si>
    <t xml:space="preserve">Adjusted closing price </t>
  </si>
  <si>
    <t>`</t>
  </si>
  <si>
    <t>Average Common shares outstanding (millions)</t>
  </si>
  <si>
    <t>Common Shares + Fully diluted conversion shares</t>
  </si>
  <si>
    <t>Income Tax Rate</t>
  </si>
  <si>
    <t>Dividends Paid</t>
  </si>
  <si>
    <t>Historical Dividends Paid</t>
  </si>
  <si>
    <r>
      <t xml:space="preserve">Market Price/Share </t>
    </r>
    <r>
      <rPr>
        <sz val="11"/>
        <rFont val="Calibri"/>
        <family val="2"/>
      </rPr>
      <t>÷</t>
    </r>
    <r>
      <rPr>
        <sz val="11"/>
        <rFont val="Arial"/>
        <family val="2"/>
      </rPr>
      <t xml:space="preserve"> Earnings / Share</t>
    </r>
  </si>
  <si>
    <t>Difference In Earnings</t>
  </si>
  <si>
    <t>Total Current Liabilities</t>
  </si>
  <si>
    <t>Long-term debt, excluding current installments</t>
  </si>
  <si>
    <r>
      <t>(Ending A/R</t>
    </r>
    <r>
      <rPr>
        <sz val="12"/>
        <rFont val="Arial"/>
        <family val="2"/>
      </rPr>
      <t xml:space="preserve"> </t>
    </r>
    <r>
      <rPr>
        <sz val="12"/>
        <rFont val="Calibri"/>
        <family val="2"/>
      </rPr>
      <t>÷</t>
    </r>
    <r>
      <rPr>
        <sz val="9.9"/>
        <rFont val="Arial"/>
        <family val="2"/>
      </rPr>
      <t xml:space="preserve"> </t>
    </r>
    <r>
      <rPr>
        <sz val="11"/>
        <rFont val="Arial"/>
        <family val="2"/>
      </rPr>
      <t>Credit Sales) x 365</t>
    </r>
  </si>
  <si>
    <t>Hard Number to Eliminate Out of Balance at Bottom of Page</t>
  </si>
  <si>
    <t>1.There are hidden cells in Columns C E G and I thru O.                                                        2. Income Tax rates found in row 33 and used to change income tax expense in income statement                                     3. Row 36 shows the difference in earnings from the original report and is used to adjust RE in Balance Sheet.                                                                        4 Row 29 has the original report total income.                                                          5. Cost  Sales  is calculated with vertical ratios in cells i thru o                                                                       6.  Net sales are reformulated based on cell addition on right of answer                                    7.  Row 31  Dividends/share calculated from History Page Information                                                                             8.  All black viewed cells are calculated from the cell just to the right                                         9.  All red cells are calculated from information found in the column</t>
  </si>
  <si>
    <t>Professor Notes Found Below</t>
  </si>
  <si>
    <t>1.  Cash numbers are coming from the cash flow statement                           2.  All red numbers come from numbers in the cell                                                                        3.  All black numbers are adjustable except Stockholders equity                                                                                                      4.  All out of balance conditions found on row 57 a hard number must be placed in row 49 to adjust accumulated comprehensive income</t>
  </si>
  <si>
    <t>1.  Rows C E and G have been hidden</t>
  </si>
  <si>
    <t>2. Net Earnings Come From Income Statement</t>
  </si>
  <si>
    <t>4.  All red numbers are calculated from information found in the it's column</t>
  </si>
  <si>
    <t>5.  Do not change anything in rows 43 to 53</t>
  </si>
  <si>
    <t>3.  All Black Numbers except those in rows 43 to 53 can be adjusted</t>
  </si>
  <si>
    <t>This is the newest of the 4 financial statements</t>
  </si>
  <si>
    <t>Profitability Ratios</t>
  </si>
  <si>
    <t>DuPont Analysis</t>
  </si>
  <si>
    <t>Stock Ratios</t>
  </si>
  <si>
    <t>Nova Southeastern University</t>
  </si>
  <si>
    <t xml:space="preserve">H. Wayne Huizenga College </t>
  </si>
  <si>
    <t>Important Note:</t>
  </si>
  <si>
    <t>of Business &amp; Entrepreneurship</t>
  </si>
  <si>
    <t>When submitting assignment please rename file as follows:</t>
  </si>
  <si>
    <r>
      <t xml:space="preserve">Assignment for Course: </t>
    </r>
    <r>
      <rPr>
        <b/>
        <sz val="14"/>
        <color indexed="10"/>
        <rFont val="Arial"/>
        <family val="2"/>
      </rPr>
      <t>ACT 5140 Accounting for Decision Makers</t>
    </r>
  </si>
  <si>
    <t>Submitted to: Prof. Allen Yessman</t>
  </si>
  <si>
    <t>R</t>
  </si>
  <si>
    <t>E</t>
  </si>
  <si>
    <t xml:space="preserve">Date of Submission: </t>
  </si>
  <si>
    <t>A</t>
  </si>
  <si>
    <t>D</t>
  </si>
  <si>
    <t>CERTIFICATION OF AUTHORSHIP: I certify that I am the author of this paper and that any assistance I received in its preparation is fully acknowledged and disclosed in the paper. I have also cited any sources from which I used data, ideas or words, either quoted directly or paraphrased. I also certify that this paper was prepared by me specifically for this course.</t>
  </si>
  <si>
    <t>Student's Signature:</t>
  </si>
  <si>
    <t>***********************************************************************************</t>
  </si>
  <si>
    <t>Instructor's Grade on Assignment:</t>
  </si>
  <si>
    <t>Instructor's Comments:</t>
  </si>
  <si>
    <t>Ratios equal 40% of the grade</t>
  </si>
  <si>
    <r>
      <t>The calculation not correct is</t>
    </r>
    <r>
      <rPr>
        <b/>
        <sz val="11"/>
        <color indexed="10"/>
        <rFont val="Arial"/>
        <family val="2"/>
      </rPr>
      <t xml:space="preserve"> </t>
    </r>
    <r>
      <rPr>
        <b/>
        <u/>
        <sz val="11"/>
        <color indexed="10"/>
        <rFont val="Arial"/>
        <family val="2"/>
      </rPr>
      <t xml:space="preserve">highlighted in red========&gt;                     </t>
    </r>
    <r>
      <rPr>
        <b/>
        <i/>
        <u/>
        <sz val="11"/>
        <color indexed="10"/>
        <rFont val="Arial"/>
        <family val="2"/>
      </rPr>
      <t xml:space="preserve"> (example)</t>
    </r>
  </si>
  <si>
    <t>Assessment Analysis is worth 60% of grade</t>
  </si>
  <si>
    <t>Assignment Grade</t>
  </si>
  <si>
    <t>(Each page of assessments is worth 10% x 6 pages)</t>
  </si>
  <si>
    <t>Calculations for Assignment Grade</t>
  </si>
  <si>
    <t xml:space="preserve"> Ratios Score =====================================&gt;</t>
  </si>
  <si>
    <t>Final Grade for Assignment ===========================================&gt;</t>
  </si>
  <si>
    <t>Total Incorrect Ratios Computed</t>
  </si>
  <si>
    <t>Correct Ratios Computed</t>
  </si>
  <si>
    <t>Total Ratios to Compute</t>
  </si>
  <si>
    <t>Score For Ratios</t>
  </si>
  <si>
    <t xml:space="preserve"> X 100% =</t>
  </si>
  <si>
    <t>Incorrect Ratios</t>
  </si>
  <si>
    <t>1.  Submitted By</t>
  </si>
  <si>
    <t>3.  Signature</t>
  </si>
  <si>
    <t>2.  Date of Submission</t>
  </si>
  <si>
    <r>
      <t xml:space="preserve">Cost of Goods Sold </t>
    </r>
    <r>
      <rPr>
        <sz val="11"/>
        <rFont val="Calibri"/>
        <family val="2"/>
      </rPr>
      <t>÷</t>
    </r>
    <r>
      <rPr>
        <sz val="11"/>
        <rFont val="Arial"/>
        <family val="2"/>
      </rPr>
      <t xml:space="preserve"> Average Inventory</t>
    </r>
  </si>
  <si>
    <r>
      <t>(Ending Inventory</t>
    </r>
    <r>
      <rPr>
        <sz val="12"/>
        <rFont val="Arial"/>
        <family val="2"/>
      </rPr>
      <t xml:space="preserve"> </t>
    </r>
    <r>
      <rPr>
        <sz val="11"/>
        <rFont val="Calibri"/>
        <family val="2"/>
      </rPr>
      <t>÷</t>
    </r>
    <r>
      <rPr>
        <sz val="11"/>
        <rFont val="Arial"/>
        <family val="2"/>
      </rPr>
      <t xml:space="preserve"> Cost of Goods Sold) x 365</t>
    </r>
  </si>
  <si>
    <t>Net Sales ÷ Average Accounts Receivable</t>
  </si>
  <si>
    <t>Net Income + Net of Tax Interest Expense / Average Total Assets</t>
  </si>
  <si>
    <t>Need to calculate if you use top row for common shares</t>
  </si>
  <si>
    <r>
      <t xml:space="preserve">Current Assets </t>
    </r>
    <r>
      <rPr>
        <sz val="11"/>
        <rFont val="Calibri"/>
        <family val="2"/>
      </rPr>
      <t>÷</t>
    </r>
    <r>
      <rPr>
        <sz val="12"/>
        <rFont val="Calibri"/>
        <family val="2"/>
      </rPr>
      <t xml:space="preserve"> </t>
    </r>
    <r>
      <rPr>
        <sz val="11"/>
        <rFont val="Arial"/>
        <family val="2"/>
      </rPr>
      <t>Current Liabilities</t>
    </r>
  </si>
  <si>
    <r>
      <t xml:space="preserve">(Cash &amp; Equivilents + Marketable Securities + A/R) </t>
    </r>
    <r>
      <rPr>
        <sz val="11"/>
        <rFont val="Calibri"/>
        <family val="2"/>
      </rPr>
      <t xml:space="preserve">÷ </t>
    </r>
    <r>
      <rPr>
        <sz val="11"/>
        <rFont val="Arial"/>
        <family val="2"/>
      </rPr>
      <t>Current Liabilities</t>
    </r>
  </si>
  <si>
    <t>Average Common + fully diluted shares outstanding ( millions)</t>
  </si>
  <si>
    <t>Long Term Debt to equity</t>
  </si>
  <si>
    <t>Rule of Thumb' - Says a current ratio of 2 is considered good while one of 3 or better is considered outstanding, but actually could be different for different companies and maket sectors</t>
  </si>
  <si>
    <t>A current ratio below 1 indicates that the company has a hard time meeting these payments</t>
  </si>
  <si>
    <t xml:space="preserve">All direct numbers </t>
  </si>
  <si>
    <t>Available Points</t>
  </si>
  <si>
    <t>The idea here is for you to look up the DuPont Theory either in the book or online to see that Return on Sales x Asset Turnover = Return on Assets or the DuPont Analysis</t>
  </si>
  <si>
    <t>(Use total sales if you cannot get credit sales)</t>
  </si>
  <si>
    <t>Debt to Equity</t>
  </si>
  <si>
    <t xml:space="preserve"> + Net Earnings</t>
  </si>
  <si>
    <t xml:space="preserve"> = Net Earnings + Net of tax interest expense</t>
  </si>
  <si>
    <t>Book value relating to common shares equity</t>
  </si>
  <si>
    <t>Total Correct Ratios</t>
  </si>
  <si>
    <t>Days sales in inventory</t>
  </si>
  <si>
    <t>Days sales in receivables</t>
  </si>
  <si>
    <t>Each calculation not correctly computed is a deduction of 1/168 of a point</t>
  </si>
  <si>
    <t xml:space="preserve">Submitted by: </t>
  </si>
  <si>
    <r>
      <t xml:space="preserve">Please Be Sure You Read Note Above                   </t>
    </r>
    <r>
      <rPr>
        <b/>
        <u/>
        <sz val="20"/>
        <color indexed="10"/>
        <rFont val="Calibri"/>
        <family val="2"/>
      </rPr>
      <t>Before Submitting Paper</t>
    </r>
  </si>
  <si>
    <r>
      <t xml:space="preserve">(Your Last Name) (Your First Initial) </t>
    </r>
    <r>
      <rPr>
        <b/>
        <sz val="12"/>
        <color indexed="12"/>
        <rFont val="Arial"/>
        <family val="2"/>
      </rPr>
      <t>Peninsular</t>
    </r>
    <r>
      <rPr>
        <b/>
        <sz val="12"/>
        <color rgb="FF0000FF"/>
        <rFont val="Arial"/>
        <family val="2"/>
      </rPr>
      <t xml:space="preserve"> Analysis</t>
    </r>
  </si>
  <si>
    <t>Please Submit your Paper through Bb:</t>
  </si>
  <si>
    <t>and upload and share with me in One Drive</t>
  </si>
  <si>
    <t>Also be sure you do the following to the left:                                 fill in the following</t>
  </si>
  <si>
    <r>
      <t xml:space="preserve">Title of Assignment: </t>
    </r>
    <r>
      <rPr>
        <b/>
        <sz val="14"/>
        <color rgb="FF0000FF"/>
        <rFont val="Arial"/>
        <family val="2"/>
      </rPr>
      <t xml:space="preserve">Peninsular Wholesale </t>
    </r>
    <r>
      <rPr>
        <b/>
        <sz val="14"/>
        <color indexed="10"/>
        <rFont val="Arial"/>
        <family val="2"/>
      </rPr>
      <t>Analysis</t>
    </r>
  </si>
  <si>
    <t>Peninsular Wholesale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</si>
</sst>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8" formatCode="&quot;$&quot;#,##0.00_);[Red]\(&quot;$&quot;#,##0.00\)"/>
    <numFmt numFmtId="41" formatCode="_(* #,##0_);_(* \(#,##0\);_(* &quot;-&quot;_);_(@_)"/>
    <numFmt numFmtId="43" formatCode="_(* #,##0.00_);_(* \(#,##0.00\);_(* &quot;-&quot;??_);_(@_)"/>
    <numFmt numFmtId="164" formatCode="&quot;$&quot;#,##0.00"/>
    <numFmt numFmtId="165" formatCode="&quot;$&quot;#,##0"/>
    <numFmt numFmtId="166" formatCode="0.000"/>
  </numFmts>
  <fonts count="75" x14ac:knownFonts="1">
    <font>
      <sz val="10"/>
      <name val="Arial"/>
    </font>
    <font>
      <sz val="10"/>
      <name val="Arial"/>
      <family val="2"/>
    </font>
    <font>
      <b/>
      <sz val="11"/>
      <color indexed="0"/>
      <name val="Arial"/>
      <family val="2"/>
    </font>
    <font>
      <sz val="11"/>
      <color indexed="0"/>
      <name val="Arial"/>
      <family val="2"/>
    </font>
    <font>
      <b/>
      <sz val="11"/>
      <name val="Arial"/>
      <family val="2"/>
    </font>
    <font>
      <sz val="11"/>
      <name val="Arial"/>
      <family val="2"/>
    </font>
    <font>
      <b/>
      <sz val="14"/>
      <name val="Arial"/>
      <family val="2"/>
    </font>
    <font>
      <b/>
      <sz val="10"/>
      <name val="Arial"/>
      <family val="2"/>
    </font>
    <font>
      <sz val="11"/>
      <color theme="1"/>
      <name val="Arial"/>
      <family val="2"/>
    </font>
    <font>
      <b/>
      <sz val="14"/>
      <color rgb="FFFF0000"/>
      <name val="Arial"/>
      <family val="2"/>
    </font>
    <font>
      <b/>
      <sz val="11"/>
      <color rgb="FFFF0000"/>
      <name val="Arial"/>
      <family val="2"/>
    </font>
    <font>
      <b/>
      <i/>
      <sz val="11"/>
      <color rgb="FFFF0000"/>
      <name val="Arial"/>
      <family val="2"/>
    </font>
    <font>
      <i/>
      <sz val="11"/>
      <color rgb="FFFF0000"/>
      <name val="Arial"/>
      <family val="2"/>
    </font>
    <font>
      <sz val="10"/>
      <name val="Arial"/>
      <family val="2"/>
    </font>
    <font>
      <b/>
      <sz val="11"/>
      <color theme="1"/>
      <name val="Arial"/>
      <family val="2"/>
    </font>
    <font>
      <sz val="11"/>
      <name val="Calibri"/>
      <family val="2"/>
    </font>
    <font>
      <sz val="9.9"/>
      <name val="Arial"/>
      <family val="2"/>
    </font>
    <font>
      <sz val="11"/>
      <color rgb="FFFF0000"/>
      <name val="Arial"/>
      <family val="2"/>
    </font>
    <font>
      <i/>
      <sz val="11"/>
      <name val="Arial"/>
      <family val="2"/>
    </font>
    <font>
      <sz val="10"/>
      <color rgb="FFFF0000"/>
      <name val="Arial"/>
      <family val="2"/>
    </font>
    <font>
      <i/>
      <sz val="10"/>
      <color rgb="FFFF0000"/>
      <name val="Arial"/>
      <family val="2"/>
    </font>
    <font>
      <b/>
      <sz val="24"/>
      <color rgb="FF00B050"/>
      <name val="Arial"/>
      <family val="2"/>
    </font>
    <font>
      <i/>
      <sz val="10"/>
      <color rgb="FFFF0000"/>
      <name val="Calibri"/>
      <family val="2"/>
    </font>
    <font>
      <b/>
      <i/>
      <u/>
      <sz val="10"/>
      <color rgb="FFFF0000"/>
      <name val="Arial"/>
      <family val="2"/>
    </font>
    <font>
      <b/>
      <u/>
      <sz val="11"/>
      <color rgb="FFFF0000"/>
      <name val="Arial"/>
      <family val="2"/>
    </font>
    <font>
      <b/>
      <sz val="10"/>
      <color rgb="FFFF0000"/>
      <name val="Arial"/>
      <family val="2"/>
    </font>
    <font>
      <b/>
      <u/>
      <sz val="10"/>
      <color rgb="FFFF0000"/>
      <name val="Arial"/>
      <family val="2"/>
    </font>
    <font>
      <b/>
      <sz val="11"/>
      <color rgb="FF0000FF"/>
      <name val="Arial"/>
      <family val="2"/>
    </font>
    <font>
      <sz val="11"/>
      <color rgb="FF00B050"/>
      <name val="Arial"/>
      <family val="2"/>
    </font>
    <font>
      <b/>
      <sz val="11"/>
      <color rgb="FF00B050"/>
      <name val="Arial"/>
      <family val="2"/>
    </font>
    <font>
      <sz val="10"/>
      <color rgb="FF00B050"/>
      <name val="Arial"/>
      <family val="2"/>
    </font>
    <font>
      <b/>
      <sz val="10"/>
      <color rgb="FF00B050"/>
      <name val="Arial"/>
      <family val="2"/>
    </font>
    <font>
      <sz val="12"/>
      <name val="Arial"/>
      <family val="2"/>
    </font>
    <font>
      <sz val="12"/>
      <name val="Calibri"/>
      <family val="2"/>
    </font>
    <font>
      <sz val="10"/>
      <color theme="1"/>
      <name val="Arial"/>
      <family val="2"/>
    </font>
    <font>
      <sz val="10"/>
      <color rgb="FFFFFF00"/>
      <name val="Arial"/>
      <family val="2"/>
    </font>
    <font>
      <sz val="11"/>
      <color rgb="FFFFFF00"/>
      <name val="Arial"/>
      <family val="2"/>
    </font>
    <font>
      <b/>
      <u/>
      <sz val="11"/>
      <color rgb="FF00B050"/>
      <name val="Arial"/>
      <family val="2"/>
    </font>
    <font>
      <b/>
      <i/>
      <sz val="10"/>
      <color rgb="FF00B050"/>
      <name val="Arial"/>
      <family val="2"/>
    </font>
    <font>
      <b/>
      <sz val="13.5"/>
      <color theme="1"/>
      <name val="Arial"/>
      <family val="2"/>
    </font>
    <font>
      <b/>
      <u/>
      <sz val="12"/>
      <color rgb="FFFF0000"/>
      <name val="Arial"/>
      <family val="2"/>
    </font>
    <font>
      <sz val="9"/>
      <color indexed="0"/>
      <name val="Arial"/>
      <family val="2"/>
    </font>
    <font>
      <b/>
      <sz val="12"/>
      <color rgb="FF00B050"/>
      <name val="Arial"/>
      <family val="2"/>
    </font>
    <font>
      <sz val="12"/>
      <color theme="1"/>
      <name val="Arial"/>
      <family val="2"/>
    </font>
    <font>
      <b/>
      <sz val="12"/>
      <color rgb="FFFF0000"/>
      <name val="Arial"/>
      <family val="2"/>
    </font>
    <font>
      <b/>
      <sz val="12"/>
      <color indexed="12"/>
      <name val="Arial"/>
      <family val="2"/>
    </font>
    <font>
      <b/>
      <sz val="14"/>
      <color theme="1"/>
      <name val="Arial"/>
      <family val="2"/>
    </font>
    <font>
      <b/>
      <sz val="14"/>
      <color indexed="10"/>
      <name val="Arial"/>
      <family val="2"/>
    </font>
    <font>
      <sz val="14"/>
      <color theme="1"/>
      <name val="Times New Roman"/>
      <family val="1"/>
    </font>
    <font>
      <b/>
      <sz val="14"/>
      <color rgb="FFFF0000"/>
      <name val="Helvetica"/>
    </font>
    <font>
      <sz val="14"/>
      <color theme="1"/>
      <name val="Calibri"/>
      <family val="2"/>
      <scheme val="minor"/>
    </font>
    <font>
      <sz val="14"/>
      <color theme="1"/>
      <name val="Arial"/>
      <family val="2"/>
    </font>
    <font>
      <b/>
      <sz val="20"/>
      <color rgb="FFFF0000"/>
      <name val="Calibri"/>
      <family val="2"/>
      <scheme val="minor"/>
    </font>
    <font>
      <b/>
      <u/>
      <sz val="20"/>
      <color indexed="10"/>
      <name val="Calibri"/>
      <family val="2"/>
    </font>
    <font>
      <sz val="9"/>
      <color indexed="0"/>
      <name val="Helv"/>
    </font>
    <font>
      <sz val="11"/>
      <color indexed="0"/>
      <name val="Helv"/>
    </font>
    <font>
      <b/>
      <sz val="11"/>
      <color indexed="10"/>
      <name val="Arial"/>
      <family val="2"/>
    </font>
    <font>
      <b/>
      <u/>
      <sz val="11"/>
      <color indexed="10"/>
      <name val="Arial"/>
      <family val="2"/>
    </font>
    <font>
      <b/>
      <i/>
      <u/>
      <sz val="11"/>
      <color indexed="10"/>
      <name val="Arial"/>
      <family val="2"/>
    </font>
    <font>
      <b/>
      <sz val="28"/>
      <color rgb="FFFF0000"/>
      <name val="Arial"/>
      <family val="2"/>
    </font>
    <font>
      <b/>
      <sz val="18"/>
      <color rgb="FF00B050"/>
      <name val="Helv"/>
    </font>
    <font>
      <b/>
      <sz val="12"/>
      <name val="Arial"/>
      <family val="2"/>
    </font>
    <font>
      <sz val="9"/>
      <color indexed="0"/>
      <name val="Courier"/>
    </font>
    <font>
      <sz val="9"/>
      <color rgb="FFFF0000"/>
      <name val="Helv"/>
    </font>
    <font>
      <sz val="9"/>
      <name val="Helv"/>
    </font>
    <font>
      <b/>
      <sz val="12"/>
      <color theme="1"/>
      <name val="Arial"/>
      <family val="2"/>
    </font>
    <font>
      <b/>
      <sz val="12"/>
      <color rgb="FF0000FF"/>
      <name val="Arial"/>
      <family val="2"/>
    </font>
    <font>
      <sz val="20"/>
      <name val="Arial"/>
      <family val="2"/>
    </font>
    <font>
      <b/>
      <sz val="16"/>
      <color rgb="FFFF0000"/>
      <name val="Arial"/>
      <family val="2"/>
    </font>
    <font>
      <sz val="14"/>
      <color theme="1"/>
      <name val="Helv"/>
    </font>
    <font>
      <b/>
      <sz val="14"/>
      <color theme="1"/>
      <name val="Helv"/>
    </font>
    <font>
      <b/>
      <sz val="20"/>
      <color rgb="FF0000FF"/>
      <name val="Arial"/>
      <family val="2"/>
    </font>
    <font>
      <sz val="11"/>
      <color rgb="FF0000FF"/>
      <name val="Arial"/>
      <family val="2"/>
    </font>
    <font>
      <b/>
      <sz val="14"/>
      <color rgb="FF0000FF"/>
      <name val="Arial"/>
      <family val="2"/>
    </font>
    <font>
      <b/>
      <sz val="36"/>
      <color rgb="FF00B050"/>
      <name val="Arial"/>
      <family val="2"/>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bgColor indexed="64"/>
      </patternFill>
    </fill>
  </fills>
  <borders count="44">
    <border>
      <left/>
      <right/>
      <top/>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uble">
        <color indexed="64"/>
      </left>
      <right style="double">
        <color indexed="64"/>
      </right>
      <top style="double">
        <color indexed="64"/>
      </top>
      <bottom style="double">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bottom/>
      <diagonal/>
    </border>
    <border>
      <left/>
      <right style="double">
        <color indexed="64"/>
      </right>
      <top/>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style="medium">
        <color indexed="64"/>
      </top>
      <bottom style="double">
        <color indexed="64"/>
      </bottom>
      <diagonal/>
    </border>
    <border>
      <left/>
      <right/>
      <top style="medium">
        <color indexed="64"/>
      </top>
      <bottom style="medium">
        <color indexed="64"/>
      </bottom>
      <diagonal/>
    </border>
  </borders>
  <cellStyleXfs count="5">
    <xf numFmtId="0" fontId="0" fillId="0" borderId="0"/>
    <xf numFmtId="9" fontId="13" fillId="0" borderId="0" applyFont="0" applyFill="0" applyBorder="0" applyAlignment="0" applyProtection="0"/>
    <xf numFmtId="41" fontId="13" fillId="0" borderId="0" applyFont="0" applyFill="0" applyBorder="0" applyAlignment="0" applyProtection="0"/>
    <xf numFmtId="0" fontId="54" fillId="0" borderId="0"/>
    <xf numFmtId="43" fontId="62" fillId="0" borderId="0" applyFont="0" applyFill="0" applyBorder="0" applyAlignment="0" applyProtection="0"/>
  </cellStyleXfs>
  <cellXfs count="291">
    <xf numFmtId="0" fontId="0" fillId="0" borderId="0" xfId="0"/>
    <xf numFmtId="0" fontId="1" fillId="0" borderId="0" xfId="0" applyFont="1"/>
    <xf numFmtId="0" fontId="5" fillId="0" borderId="0" xfId="0" applyFont="1"/>
    <xf numFmtId="14" fontId="4" fillId="0" borderId="0" xfId="0" applyNumberFormat="1" applyFont="1" applyAlignment="1">
      <alignment horizontal="center"/>
    </xf>
    <xf numFmtId="0" fontId="5" fillId="0" borderId="0" xfId="0" applyFont="1" applyFill="1" applyAlignment="1" applyProtection="1">
      <alignment horizontal="right"/>
    </xf>
    <xf numFmtId="165" fontId="5" fillId="0" borderId="0" xfId="0" applyNumberFormat="1" applyFont="1" applyAlignment="1">
      <alignment horizontal="center"/>
    </xf>
    <xf numFmtId="0" fontId="4" fillId="0" borderId="0" xfId="0" applyFont="1" applyFill="1" applyAlignment="1" applyProtection="1">
      <alignment horizontal="right"/>
    </xf>
    <xf numFmtId="0" fontId="5" fillId="0" borderId="0" xfId="0" applyFont="1" applyAlignment="1">
      <alignment horizontal="right"/>
    </xf>
    <xf numFmtId="166" fontId="5" fillId="0" borderId="0" xfId="0" applyNumberFormat="1" applyFont="1" applyAlignment="1">
      <alignment horizontal="center"/>
    </xf>
    <xf numFmtId="0" fontId="8" fillId="0" borderId="0" xfId="0" applyFont="1" applyAlignment="1">
      <alignment horizontal="right"/>
    </xf>
    <xf numFmtId="0" fontId="9" fillId="0" borderId="0" xfId="0" applyFont="1"/>
    <xf numFmtId="0" fontId="10" fillId="0" borderId="0" xfId="0" applyFont="1"/>
    <xf numFmtId="0" fontId="11" fillId="0" borderId="0" xfId="0" applyFont="1"/>
    <xf numFmtId="0" fontId="12" fillId="0" borderId="0" xfId="0" applyFont="1"/>
    <xf numFmtId="0" fontId="7" fillId="0" borderId="0" xfId="0" applyFont="1"/>
    <xf numFmtId="0" fontId="8" fillId="0" borderId="0" xfId="0" applyFont="1" applyFill="1" applyAlignment="1">
      <alignment horizontal="right"/>
    </xf>
    <xf numFmtId="0" fontId="14" fillId="0" borderId="0" xfId="0" applyFont="1" applyFill="1" applyAlignment="1">
      <alignment horizontal="right"/>
    </xf>
    <xf numFmtId="0" fontId="18" fillId="0" borderId="0" xfId="0" applyFont="1"/>
    <xf numFmtId="0" fontId="19" fillId="0" borderId="0" xfId="0" applyFont="1"/>
    <xf numFmtId="0" fontId="20" fillId="0" borderId="0" xfId="0" applyFont="1"/>
    <xf numFmtId="0" fontId="21" fillId="0" borderId="0" xfId="0" applyFont="1"/>
    <xf numFmtId="0" fontId="17" fillId="0" borderId="0" xfId="0" applyFont="1"/>
    <xf numFmtId="0" fontId="23" fillId="2" borderId="8" xfId="0" applyFont="1" applyFill="1" applyBorder="1"/>
    <xf numFmtId="0" fontId="20" fillId="2" borderId="5" xfId="0" applyFont="1" applyFill="1" applyBorder="1"/>
    <xf numFmtId="0" fontId="5" fillId="0" borderId="0" xfId="0" applyFont="1" applyFill="1" applyAlignment="1">
      <alignment horizontal="right"/>
    </xf>
    <xf numFmtId="0" fontId="5" fillId="0" borderId="0" xfId="0" applyFont="1" applyFill="1" applyAlignment="1" applyProtection="1">
      <alignment horizontal="left"/>
    </xf>
    <xf numFmtId="0" fontId="8" fillId="0" borderId="0" xfId="0" applyFont="1" applyFill="1" applyAlignment="1">
      <alignment horizontal="left"/>
    </xf>
    <xf numFmtId="0" fontId="8" fillId="0" borderId="0" xfId="0" applyFont="1" applyAlignment="1">
      <alignment horizontal="left"/>
    </xf>
    <xf numFmtId="0" fontId="24" fillId="0" borderId="0" xfId="0" applyFont="1"/>
    <xf numFmtId="0" fontId="25" fillId="0" borderId="0" xfId="0" applyFont="1"/>
    <xf numFmtId="0" fontId="26" fillId="0" borderId="0" xfId="0" applyFont="1"/>
    <xf numFmtId="0" fontId="17" fillId="0" borderId="0" xfId="0" applyFont="1" applyFill="1" applyAlignment="1" applyProtection="1">
      <alignment horizontal="left"/>
    </xf>
    <xf numFmtId="0" fontId="8" fillId="2" borderId="14" xfId="0" applyFont="1" applyFill="1" applyBorder="1" applyAlignment="1">
      <alignment horizontal="left"/>
    </xf>
    <xf numFmtId="0" fontId="8" fillId="2" borderId="15" xfId="0" applyFont="1" applyFill="1" applyBorder="1" applyAlignment="1">
      <alignment horizontal="left"/>
    </xf>
    <xf numFmtId="0" fontId="8" fillId="0" borderId="0" xfId="0" applyFont="1" applyAlignment="1">
      <alignment horizontal="right" wrapText="1"/>
    </xf>
    <xf numFmtId="0" fontId="0" fillId="0" borderId="0" xfId="0" applyProtection="1">
      <protection hidden="1"/>
    </xf>
    <xf numFmtId="0" fontId="6" fillId="0" borderId="0" xfId="0" applyFont="1" applyProtection="1">
      <protection hidden="1"/>
    </xf>
    <xf numFmtId="0" fontId="4" fillId="0" borderId="4" xfId="0" applyFont="1" applyBorder="1" applyAlignment="1" applyProtection="1">
      <alignment horizontal="right" vertical="center"/>
      <protection hidden="1"/>
    </xf>
    <xf numFmtId="14" fontId="27" fillId="0" borderId="4" xfId="0" applyNumberFormat="1" applyFont="1" applyBorder="1" applyAlignment="1" applyProtection="1">
      <alignment horizontal="center"/>
      <protection hidden="1"/>
    </xf>
    <xf numFmtId="0" fontId="5" fillId="0" borderId="6" xfId="0" applyFont="1" applyBorder="1" applyAlignment="1" applyProtection="1">
      <alignment vertical="center"/>
      <protection hidden="1"/>
    </xf>
    <xf numFmtId="8" fontId="5" fillId="0" borderId="7" xfId="0" applyNumberFormat="1" applyFont="1" applyBorder="1" applyAlignment="1" applyProtection="1">
      <alignment horizontal="center" vertical="center"/>
      <protection hidden="1"/>
    </xf>
    <xf numFmtId="3" fontId="5" fillId="0" borderId="7" xfId="0" applyNumberFormat="1" applyFont="1" applyBorder="1" applyAlignment="1" applyProtection="1">
      <alignment horizontal="center" vertical="center"/>
      <protection hidden="1"/>
    </xf>
    <xf numFmtId="0" fontId="5" fillId="0" borderId="6" xfId="0" applyFont="1" applyBorder="1" applyAlignment="1" applyProtection="1">
      <alignment horizontal="center" vertical="center" wrapText="1"/>
      <protection hidden="1"/>
    </xf>
    <xf numFmtId="0" fontId="5" fillId="0" borderId="4" xfId="0" applyFont="1" applyBorder="1" applyAlignment="1" applyProtection="1">
      <alignment horizontal="left"/>
      <protection hidden="1"/>
    </xf>
    <xf numFmtId="165" fontId="5" fillId="0" borderId="4" xfId="0" applyNumberFormat="1" applyFont="1" applyBorder="1" applyAlignment="1" applyProtection="1">
      <alignment horizontal="center"/>
      <protection hidden="1"/>
    </xf>
    <xf numFmtId="37" fontId="0" fillId="0" borderId="0" xfId="0" applyNumberFormat="1" applyProtection="1">
      <protection hidden="1"/>
    </xf>
    <xf numFmtId="165" fontId="5" fillId="0" borderId="0" xfId="0" applyNumberFormat="1" applyFont="1" applyBorder="1" applyAlignment="1" applyProtection="1">
      <alignment horizontal="center"/>
      <protection hidden="1"/>
    </xf>
    <xf numFmtId="0" fontId="7" fillId="0" borderId="0" xfId="0" applyFont="1" applyProtection="1">
      <protection hidden="1"/>
    </xf>
    <xf numFmtId="0" fontId="5" fillId="0" borderId="0" xfId="0" applyFont="1" applyProtection="1">
      <protection hidden="1"/>
    </xf>
    <xf numFmtId="0" fontId="5" fillId="0" borderId="0" xfId="0" applyFont="1" applyAlignment="1" applyProtection="1">
      <alignment horizontal="left"/>
      <protection hidden="1"/>
    </xf>
    <xf numFmtId="0" fontId="4" fillId="0" borderId="0" xfId="0" applyFont="1" applyAlignment="1" applyProtection="1">
      <protection hidden="1"/>
    </xf>
    <xf numFmtId="14" fontId="4" fillId="0" borderId="0" xfId="0" applyNumberFormat="1" applyFont="1" applyAlignment="1" applyProtection="1">
      <alignment horizontal="center"/>
      <protection hidden="1"/>
    </xf>
    <xf numFmtId="165" fontId="5" fillId="0" borderId="0" xfId="0" applyNumberFormat="1" applyFont="1" applyAlignment="1" applyProtection="1">
      <alignment horizontal="center"/>
      <protection hidden="1"/>
    </xf>
    <xf numFmtId="10" fontId="0" fillId="0" borderId="0" xfId="1" applyNumberFormat="1" applyFont="1" applyProtection="1">
      <protection hidden="1"/>
    </xf>
    <xf numFmtId="37" fontId="5" fillId="0" borderId="0" xfId="0" applyNumberFormat="1" applyFont="1" applyAlignment="1" applyProtection="1">
      <alignment horizontal="center"/>
      <protection hidden="1"/>
    </xf>
    <xf numFmtId="0" fontId="10" fillId="0" borderId="0" xfId="0" applyFont="1" applyAlignment="1" applyProtection="1">
      <alignment horizontal="left"/>
      <protection hidden="1"/>
    </xf>
    <xf numFmtId="37" fontId="10" fillId="0" borderId="0" xfId="0" applyNumberFormat="1" applyFont="1" applyAlignment="1" applyProtection="1">
      <alignment horizontal="center"/>
      <protection hidden="1"/>
    </xf>
    <xf numFmtId="0" fontId="25" fillId="0" borderId="0" xfId="0" applyFont="1" applyProtection="1">
      <protection hidden="1"/>
    </xf>
    <xf numFmtId="3" fontId="0" fillId="0" borderId="0" xfId="0" applyNumberFormat="1" applyProtection="1">
      <protection hidden="1"/>
    </xf>
    <xf numFmtId="0" fontId="17" fillId="0" borderId="0" xfId="0" applyFont="1" applyAlignment="1" applyProtection="1">
      <alignment horizontal="left"/>
      <protection hidden="1"/>
    </xf>
    <xf numFmtId="37" fontId="17" fillId="0" borderId="0" xfId="0" applyNumberFormat="1" applyFont="1" applyAlignment="1" applyProtection="1">
      <alignment horizontal="center"/>
      <protection hidden="1"/>
    </xf>
    <xf numFmtId="39" fontId="17" fillId="0" borderId="0" xfId="0" applyNumberFormat="1" applyFont="1" applyAlignment="1" applyProtection="1">
      <alignment horizontal="center"/>
      <protection hidden="1"/>
    </xf>
    <xf numFmtId="0" fontId="19" fillId="0" borderId="0" xfId="0" applyFont="1" applyProtection="1">
      <protection hidden="1"/>
    </xf>
    <xf numFmtId="165" fontId="10" fillId="0" borderId="0" xfId="0" applyNumberFormat="1" applyFont="1" applyAlignment="1" applyProtection="1">
      <alignment horizontal="center"/>
      <protection hidden="1"/>
    </xf>
    <xf numFmtId="0" fontId="4" fillId="2" borderId="0" xfId="0" applyFont="1" applyFill="1" applyAlignment="1" applyProtection="1">
      <alignment horizontal="left"/>
      <protection hidden="1"/>
    </xf>
    <xf numFmtId="3" fontId="4" fillId="2" borderId="0" xfId="0" applyNumberFormat="1" applyFont="1" applyFill="1" applyAlignment="1" applyProtection="1">
      <alignment horizontal="center"/>
      <protection hidden="1"/>
    </xf>
    <xf numFmtId="0" fontId="7" fillId="2" borderId="0" xfId="0" applyFont="1" applyFill="1" applyProtection="1">
      <protection hidden="1"/>
    </xf>
    <xf numFmtId="0" fontId="4" fillId="0" borderId="0" xfId="0" applyFont="1" applyFill="1" applyAlignment="1" applyProtection="1">
      <alignment horizontal="left"/>
      <protection hidden="1"/>
    </xf>
    <xf numFmtId="3" fontId="4" fillId="0" borderId="0" xfId="0" applyNumberFormat="1" applyFont="1" applyFill="1" applyAlignment="1" applyProtection="1">
      <alignment horizontal="center"/>
      <protection hidden="1"/>
    </xf>
    <xf numFmtId="0" fontId="7" fillId="0" borderId="0" xfId="0" applyFont="1" applyFill="1" applyProtection="1">
      <protection hidden="1"/>
    </xf>
    <xf numFmtId="0" fontId="5" fillId="0" borderId="0" xfId="0" applyFont="1" applyFill="1" applyAlignment="1" applyProtection="1">
      <alignment horizontal="left"/>
      <protection hidden="1"/>
    </xf>
    <xf numFmtId="164" fontId="5" fillId="0" borderId="0" xfId="0" applyNumberFormat="1" applyFont="1" applyFill="1" applyAlignment="1" applyProtection="1">
      <alignment horizontal="center"/>
      <protection hidden="1"/>
    </xf>
    <xf numFmtId="10" fontId="0" fillId="0" borderId="0" xfId="1" applyNumberFormat="1" applyFont="1" applyFill="1" applyProtection="1">
      <protection hidden="1"/>
    </xf>
    <xf numFmtId="0" fontId="0" fillId="0" borderId="0" xfId="0" applyFill="1" applyProtection="1">
      <protection hidden="1"/>
    </xf>
    <xf numFmtId="10" fontId="25" fillId="0" borderId="0" xfId="1" applyNumberFormat="1" applyFont="1" applyProtection="1">
      <protection hidden="1"/>
    </xf>
    <xf numFmtId="0" fontId="1" fillId="0" borderId="0" xfId="0" applyFont="1" applyProtection="1">
      <protection hidden="1"/>
    </xf>
    <xf numFmtId="165" fontId="0" fillId="0" borderId="0" xfId="0" applyNumberFormat="1" applyProtection="1">
      <protection hidden="1"/>
    </xf>
    <xf numFmtId="0" fontId="2" fillId="0" borderId="0" xfId="0" applyFont="1" applyFill="1" applyAlignment="1" applyProtection="1">
      <protection hidden="1"/>
    </xf>
    <xf numFmtId="0" fontId="8" fillId="0" borderId="0" xfId="0" applyFont="1" applyProtection="1">
      <protection hidden="1"/>
    </xf>
    <xf numFmtId="0" fontId="3" fillId="0" borderId="0" xfId="0" applyFont="1" applyFill="1" applyAlignment="1" applyProtection="1">
      <alignment horizontal="right"/>
      <protection hidden="1"/>
    </xf>
    <xf numFmtId="0" fontId="5" fillId="0" borderId="0" xfId="0" applyFont="1" applyFill="1" applyAlignment="1" applyProtection="1">
      <alignment horizontal="right"/>
      <protection hidden="1"/>
    </xf>
    <xf numFmtId="0" fontId="2" fillId="0" borderId="0" xfId="0" applyFont="1" applyFill="1" applyAlignment="1" applyProtection="1">
      <alignment horizontal="center"/>
      <protection hidden="1"/>
    </xf>
    <xf numFmtId="0" fontId="3" fillId="0" borderId="0" xfId="0" applyFont="1" applyFill="1" applyAlignment="1" applyProtection="1">
      <protection hidden="1"/>
    </xf>
    <xf numFmtId="165" fontId="3" fillId="0" borderId="0" xfId="0" applyNumberFormat="1" applyFont="1" applyFill="1" applyAlignment="1" applyProtection="1">
      <alignment horizontal="center"/>
      <protection hidden="1"/>
    </xf>
    <xf numFmtId="3" fontId="3" fillId="0" borderId="0" xfId="0" applyNumberFormat="1" applyFont="1" applyFill="1" applyAlignment="1" applyProtection="1">
      <alignment horizontal="center"/>
      <protection hidden="1"/>
    </xf>
    <xf numFmtId="0" fontId="3" fillId="0" borderId="0" xfId="0" applyFont="1" applyFill="1" applyAlignment="1" applyProtection="1">
      <alignment horizontal="center"/>
      <protection hidden="1"/>
    </xf>
    <xf numFmtId="0" fontId="10" fillId="0" borderId="0" xfId="0" applyFont="1" applyFill="1" applyAlignment="1" applyProtection="1">
      <protection hidden="1"/>
    </xf>
    <xf numFmtId="3" fontId="10" fillId="0" borderId="0" xfId="0" applyNumberFormat="1" applyFont="1" applyFill="1" applyAlignment="1" applyProtection="1">
      <alignment horizontal="center"/>
      <protection hidden="1"/>
    </xf>
    <xf numFmtId="165" fontId="10" fillId="0" borderId="0" xfId="0" applyNumberFormat="1" applyFont="1" applyFill="1" applyAlignment="1" applyProtection="1">
      <alignment horizontal="center"/>
      <protection hidden="1"/>
    </xf>
    <xf numFmtId="0" fontId="4" fillId="0" borderId="0" xfId="0" applyFont="1" applyFill="1" applyAlignment="1" applyProtection="1">
      <protection hidden="1"/>
    </xf>
    <xf numFmtId="0" fontId="5" fillId="0" borderId="0" xfId="0" applyFont="1" applyFill="1" applyAlignment="1" applyProtection="1">
      <protection hidden="1"/>
    </xf>
    <xf numFmtId="3" fontId="5" fillId="0" borderId="0" xfId="0" applyNumberFormat="1" applyFont="1" applyFill="1" applyAlignment="1" applyProtection="1">
      <alignment horizontal="center"/>
      <protection hidden="1"/>
    </xf>
    <xf numFmtId="0" fontId="3" fillId="0" borderId="0" xfId="0" applyFont="1" applyFill="1" applyAlignment="1" applyProtection="1">
      <alignment horizontal="left"/>
      <protection hidden="1"/>
    </xf>
    <xf numFmtId="165" fontId="5" fillId="0" borderId="0" xfId="0" applyNumberFormat="1" applyFont="1" applyFill="1" applyAlignment="1" applyProtection="1">
      <alignment horizontal="center"/>
      <protection hidden="1"/>
    </xf>
    <xf numFmtId="3" fontId="2" fillId="0" borderId="0" xfId="0" applyNumberFormat="1" applyFont="1" applyFill="1" applyAlignment="1" applyProtection="1">
      <alignment horizontal="center"/>
      <protection hidden="1"/>
    </xf>
    <xf numFmtId="37" fontId="3" fillId="0" borderId="0" xfId="0" applyNumberFormat="1" applyFont="1" applyFill="1" applyAlignment="1" applyProtection="1">
      <alignment horizontal="center"/>
      <protection hidden="1"/>
    </xf>
    <xf numFmtId="0" fontId="3" fillId="3" borderId="0" xfId="0" applyFont="1" applyFill="1" applyAlignment="1" applyProtection="1">
      <protection hidden="1"/>
    </xf>
    <xf numFmtId="37" fontId="3" fillId="3" borderId="0" xfId="0" applyNumberFormat="1" applyFont="1" applyFill="1" applyAlignment="1" applyProtection="1">
      <alignment horizontal="center"/>
      <protection hidden="1"/>
    </xf>
    <xf numFmtId="41" fontId="3" fillId="3" borderId="0" xfId="2" applyFont="1" applyFill="1" applyAlignment="1" applyProtection="1">
      <alignment horizontal="center"/>
      <protection hidden="1"/>
    </xf>
    <xf numFmtId="0" fontId="0" fillId="3" borderId="0" xfId="0" applyFill="1" applyProtection="1">
      <protection hidden="1"/>
    </xf>
    <xf numFmtId="41" fontId="3" fillId="0" borderId="0" xfId="2" applyFont="1" applyFill="1" applyAlignment="1" applyProtection="1">
      <alignment horizontal="center"/>
      <protection hidden="1"/>
    </xf>
    <xf numFmtId="41" fontId="3" fillId="0" borderId="0" xfId="2" applyFont="1" applyFill="1" applyAlignment="1" applyProtection="1">
      <alignment horizontal="left"/>
      <protection hidden="1"/>
    </xf>
    <xf numFmtId="41" fontId="0" fillId="0" borderId="0" xfId="2" applyFont="1" applyFill="1" applyProtection="1">
      <protection hidden="1"/>
    </xf>
    <xf numFmtId="164" fontId="0" fillId="0" borderId="0" xfId="0" applyNumberFormat="1" applyProtection="1">
      <protection hidden="1"/>
    </xf>
    <xf numFmtId="0" fontId="31" fillId="2" borderId="0" xfId="0" applyFont="1" applyFill="1" applyProtection="1">
      <protection hidden="1"/>
    </xf>
    <xf numFmtId="0" fontId="4" fillId="2" borderId="0" xfId="0" applyFont="1" applyFill="1" applyBorder="1" applyProtection="1">
      <protection hidden="1"/>
    </xf>
    <xf numFmtId="0" fontId="14" fillId="2" borderId="0" xfId="0" applyFont="1" applyFill="1" applyBorder="1" applyProtection="1">
      <protection hidden="1"/>
    </xf>
    <xf numFmtId="0" fontId="1" fillId="0" borderId="0" xfId="0" applyFont="1" applyFill="1" applyProtection="1">
      <protection hidden="1"/>
    </xf>
    <xf numFmtId="37" fontId="5" fillId="0" borderId="0" xfId="0" applyNumberFormat="1" applyFont="1" applyFill="1" applyAlignment="1" applyProtection="1">
      <alignment horizontal="center"/>
      <protection hidden="1"/>
    </xf>
    <xf numFmtId="5" fontId="10" fillId="0" borderId="0" xfId="0" applyNumberFormat="1" applyFont="1" applyFill="1" applyAlignment="1" applyProtection="1">
      <alignment horizontal="center"/>
      <protection hidden="1"/>
    </xf>
    <xf numFmtId="0" fontId="5" fillId="0" borderId="0" xfId="0" applyFont="1" applyFill="1" applyAlignment="1" applyProtection="1">
      <alignment horizontal="center"/>
      <protection hidden="1"/>
    </xf>
    <xf numFmtId="5" fontId="4" fillId="0" borderId="0" xfId="0" applyNumberFormat="1" applyFont="1" applyFill="1" applyAlignment="1" applyProtection="1">
      <alignment horizontal="center"/>
      <protection hidden="1"/>
    </xf>
    <xf numFmtId="5" fontId="5" fillId="0" borderId="0" xfId="0" applyNumberFormat="1" applyFont="1" applyFill="1" applyAlignment="1" applyProtection="1">
      <alignment horizontal="center"/>
      <protection hidden="1"/>
    </xf>
    <xf numFmtId="0" fontId="19" fillId="0" borderId="0" xfId="0" applyFont="1" applyFill="1" applyProtection="1">
      <protection hidden="1"/>
    </xf>
    <xf numFmtId="37" fontId="2" fillId="0" borderId="0" xfId="0" applyNumberFormat="1" applyFont="1" applyFill="1" applyAlignment="1" applyProtection="1">
      <alignment horizontal="center"/>
      <protection hidden="1"/>
    </xf>
    <xf numFmtId="37" fontId="17" fillId="0" borderId="0" xfId="0" applyNumberFormat="1" applyFont="1" applyFill="1" applyAlignment="1" applyProtection="1">
      <alignment horizontal="center"/>
      <protection hidden="1"/>
    </xf>
    <xf numFmtId="0" fontId="28" fillId="0" borderId="0" xfId="0" applyFont="1" applyFill="1" applyAlignment="1" applyProtection="1">
      <alignment horizontal="right"/>
      <protection hidden="1"/>
    </xf>
    <xf numFmtId="5" fontId="29" fillId="0" borderId="0" xfId="0" applyNumberFormat="1" applyFont="1" applyFill="1" applyAlignment="1" applyProtection="1">
      <alignment horizontal="center"/>
      <protection hidden="1"/>
    </xf>
    <xf numFmtId="0" fontId="30" fillId="0" borderId="0" xfId="0" applyFont="1" applyFill="1" applyProtection="1">
      <protection hidden="1"/>
    </xf>
    <xf numFmtId="9" fontId="8" fillId="0" borderId="0" xfId="1" applyFont="1" applyFill="1" applyAlignment="1" applyProtection="1">
      <alignment horizontal="center"/>
      <protection hidden="1"/>
    </xf>
    <xf numFmtId="0" fontId="19" fillId="0" borderId="0" xfId="0" applyFont="1" applyFill="1" applyAlignment="1" applyProtection="1">
      <alignment horizontal="center"/>
      <protection hidden="1"/>
    </xf>
    <xf numFmtId="0" fontId="0" fillId="0" borderId="0" xfId="0" applyFill="1" applyAlignment="1" applyProtection="1">
      <alignment horizontal="center"/>
      <protection hidden="1"/>
    </xf>
    <xf numFmtId="5" fontId="8" fillId="0" borderId="0" xfId="0" applyNumberFormat="1" applyFont="1" applyProtection="1">
      <protection hidden="1"/>
    </xf>
    <xf numFmtId="0" fontId="36" fillId="2" borderId="14" xfId="0" applyFont="1" applyFill="1" applyBorder="1" applyProtection="1">
      <protection hidden="1"/>
    </xf>
    <xf numFmtId="0" fontId="8" fillId="0" borderId="0" xfId="0" applyFont="1" applyFill="1" applyProtection="1">
      <protection hidden="1"/>
    </xf>
    <xf numFmtId="0" fontId="36" fillId="2" borderId="15" xfId="0" applyFont="1" applyFill="1" applyBorder="1" applyProtection="1">
      <protection hidden="1"/>
    </xf>
    <xf numFmtId="0" fontId="36" fillId="2" borderId="6" xfId="0" applyFont="1" applyFill="1" applyBorder="1" applyProtection="1">
      <protection hidden="1"/>
    </xf>
    <xf numFmtId="0" fontId="5" fillId="2" borderId="10" xfId="0" applyFont="1" applyFill="1" applyBorder="1"/>
    <xf numFmtId="0" fontId="1" fillId="2" borderId="11" xfId="0" applyFont="1" applyFill="1" applyBorder="1"/>
    <xf numFmtId="0" fontId="0" fillId="2" borderId="11" xfId="0" applyFill="1" applyBorder="1"/>
    <xf numFmtId="0" fontId="5" fillId="2" borderId="11" xfId="0" applyFont="1" applyFill="1" applyBorder="1"/>
    <xf numFmtId="0" fontId="0" fillId="2" borderId="12" xfId="0" applyFill="1" applyBorder="1"/>
    <xf numFmtId="0" fontId="20" fillId="2" borderId="9" xfId="0" applyFont="1" applyFill="1" applyBorder="1"/>
    <xf numFmtId="0" fontId="38" fillId="2" borderId="13" xfId="0" applyFont="1" applyFill="1" applyBorder="1"/>
    <xf numFmtId="0" fontId="34" fillId="0" borderId="0" xfId="0" applyFont="1" applyAlignment="1">
      <alignment horizontal="right"/>
    </xf>
    <xf numFmtId="2" fontId="5" fillId="0" borderId="1" xfId="0" applyNumberFormat="1" applyFont="1" applyBorder="1" applyAlignment="1" applyProtection="1">
      <alignment horizontal="center"/>
      <protection locked="0"/>
    </xf>
    <xf numFmtId="2" fontId="8" fillId="0" borderId="1" xfId="0" applyNumberFormat="1" applyFont="1" applyFill="1" applyBorder="1" applyAlignment="1" applyProtection="1">
      <alignment horizontal="center"/>
      <protection locked="0"/>
    </xf>
    <xf numFmtId="166" fontId="5" fillId="0" borderId="0" xfId="0" applyNumberFormat="1" applyFont="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Protection="1">
      <protection locked="0"/>
    </xf>
    <xf numFmtId="165" fontId="5" fillId="0" borderId="1" xfId="0" applyNumberFormat="1" applyFont="1" applyBorder="1" applyAlignment="1" applyProtection="1">
      <alignment horizontal="center"/>
      <protection locked="0"/>
    </xf>
    <xf numFmtId="2" fontId="8" fillId="0" borderId="3" xfId="0" applyNumberFormat="1" applyFont="1" applyFill="1" applyBorder="1" applyAlignment="1" applyProtection="1">
      <alignment horizontal="center"/>
      <protection locked="0"/>
    </xf>
    <xf numFmtId="164" fontId="8" fillId="0" borderId="1" xfId="0" applyNumberFormat="1" applyFont="1" applyFill="1" applyBorder="1" applyAlignment="1" applyProtection="1">
      <alignment horizontal="center"/>
      <protection locked="0"/>
    </xf>
    <xf numFmtId="0" fontId="8" fillId="0" borderId="0" xfId="0" applyFont="1" applyFill="1" applyAlignment="1" applyProtection="1">
      <alignment horizontal="center"/>
      <protection locked="0"/>
    </xf>
    <xf numFmtId="10" fontId="8" fillId="0" borderId="1" xfId="0" applyNumberFormat="1" applyFont="1" applyFill="1" applyBorder="1" applyAlignment="1" applyProtection="1">
      <alignment horizontal="center"/>
      <protection locked="0"/>
    </xf>
    <xf numFmtId="10" fontId="5" fillId="0" borderId="1" xfId="0" applyNumberFormat="1" applyFont="1" applyBorder="1" applyAlignment="1" applyProtection="1">
      <alignment horizontal="center"/>
      <protection locked="0"/>
    </xf>
    <xf numFmtId="164" fontId="5" fillId="0" borderId="1" xfId="0" applyNumberFormat="1" applyFont="1" applyBorder="1" applyAlignment="1" applyProtection="1">
      <alignment horizontal="center"/>
      <protection locked="0"/>
    </xf>
    <xf numFmtId="165" fontId="8" fillId="0" borderId="0" xfId="0" applyNumberFormat="1" applyFont="1" applyFill="1" applyAlignment="1" applyProtection="1">
      <alignment horizontal="center"/>
      <protection locked="0"/>
    </xf>
    <xf numFmtId="10" fontId="5" fillId="0" borderId="1" xfId="1" applyNumberFormat="1" applyFont="1" applyBorder="1" applyAlignment="1" applyProtection="1">
      <alignment horizontal="center"/>
      <protection locked="0"/>
    </xf>
    <xf numFmtId="3" fontId="5" fillId="0" borderId="1" xfId="0" applyNumberFormat="1" applyFont="1" applyBorder="1" applyAlignment="1" applyProtection="1">
      <alignment horizontal="center"/>
      <protection locked="0"/>
    </xf>
    <xf numFmtId="3" fontId="5" fillId="0" borderId="1" xfId="0" applyNumberFormat="1" applyFont="1" applyBorder="1" applyAlignment="1" applyProtection="1">
      <alignment horizontal="center" vertical="center"/>
      <protection locked="0"/>
    </xf>
    <xf numFmtId="0" fontId="39" fillId="0" borderId="0" xfId="0" applyFont="1" applyAlignment="1">
      <alignment horizontal="center" vertical="center"/>
    </xf>
    <xf numFmtId="0" fontId="0" fillId="0" borderId="0" xfId="0" applyAlignment="1"/>
    <xf numFmtId="0" fontId="40" fillId="2" borderId="18" xfId="0" applyFont="1" applyFill="1" applyBorder="1" applyAlignment="1">
      <alignment vertical="center"/>
    </xf>
    <xf numFmtId="0" fontId="41" fillId="2" borderId="19" xfId="0" applyFont="1" applyFill="1" applyBorder="1"/>
    <xf numFmtId="0" fontId="41" fillId="2" borderId="20" xfId="0" applyFont="1" applyFill="1" applyBorder="1"/>
    <xf numFmtId="0" fontId="42" fillId="2" borderId="21" xfId="0" applyFont="1" applyFill="1" applyBorder="1" applyAlignment="1">
      <alignment vertical="center"/>
    </xf>
    <xf numFmtId="0" fontId="41" fillId="2" borderId="0" xfId="0" applyFont="1" applyFill="1" applyBorder="1"/>
    <xf numFmtId="0" fontId="41" fillId="2" borderId="22" xfId="0" applyFont="1" applyFill="1" applyBorder="1"/>
    <xf numFmtId="0" fontId="43" fillId="0" borderId="0" xfId="0" applyFont="1" applyAlignment="1">
      <alignment vertical="center"/>
    </xf>
    <xf numFmtId="0" fontId="46" fillId="0" borderId="0" xfId="0" applyFont="1" applyAlignment="1">
      <alignment vertical="center" wrapText="1"/>
    </xf>
    <xf numFmtId="0" fontId="48" fillId="0" borderId="0" xfId="0" applyFont="1" applyAlignment="1">
      <alignment vertical="center"/>
    </xf>
    <xf numFmtId="0" fontId="49" fillId="0" borderId="0" xfId="0" applyFont="1" applyAlignment="1">
      <alignment horizontal="center"/>
    </xf>
    <xf numFmtId="0" fontId="50" fillId="0" borderId="0" xfId="0" applyFont="1" applyAlignment="1">
      <alignment vertical="center" wrapText="1"/>
    </xf>
    <xf numFmtId="0" fontId="50" fillId="0" borderId="0" xfId="0" applyFont="1" applyAlignment="1"/>
    <xf numFmtId="0" fontId="46" fillId="0" borderId="0" xfId="0" applyFont="1" applyAlignment="1">
      <alignment vertical="center"/>
    </xf>
    <xf numFmtId="0" fontId="50" fillId="0" borderId="0" xfId="0" applyFont="1" applyAlignment="1">
      <alignment vertical="center"/>
    </xf>
    <xf numFmtId="0" fontId="51" fillId="0" borderId="0" xfId="0" applyFont="1" applyAlignment="1">
      <alignment vertical="center" wrapText="1"/>
    </xf>
    <xf numFmtId="0" fontId="10" fillId="2" borderId="14" xfId="3" applyFont="1" applyFill="1" applyBorder="1" applyAlignment="1"/>
    <xf numFmtId="0" fontId="55" fillId="0" borderId="0" xfId="0" applyFont="1" applyAlignment="1"/>
    <xf numFmtId="0" fontId="55" fillId="0" borderId="0" xfId="0" applyFont="1"/>
    <xf numFmtId="0" fontId="4" fillId="2" borderId="15" xfId="3" applyFont="1" applyFill="1" applyBorder="1" applyAlignment="1"/>
    <xf numFmtId="0" fontId="10" fillId="2" borderId="15" xfId="3" applyFont="1" applyFill="1" applyBorder="1" applyAlignment="1"/>
    <xf numFmtId="0" fontId="4" fillId="2" borderId="6" xfId="3" applyFont="1" applyFill="1" applyBorder="1" applyAlignment="1"/>
    <xf numFmtId="0" fontId="61" fillId="2" borderId="36" xfId="3" applyFont="1" applyFill="1" applyBorder="1" applyAlignment="1">
      <alignment horizontal="center" vertical="center"/>
    </xf>
    <xf numFmtId="0" fontId="61" fillId="2" borderId="37" xfId="3" applyFont="1" applyFill="1" applyBorder="1" applyAlignment="1">
      <alignment horizontal="center" vertical="center"/>
    </xf>
    <xf numFmtId="0" fontId="44" fillId="2" borderId="17" xfId="3" quotePrefix="1" applyFont="1" applyFill="1" applyBorder="1" applyAlignment="1">
      <alignment horizontal="center"/>
    </xf>
    <xf numFmtId="0" fontId="61" fillId="2" borderId="38" xfId="3" applyFont="1" applyFill="1" applyBorder="1" applyAlignment="1">
      <alignment horizontal="center" vertical="center"/>
    </xf>
    <xf numFmtId="0" fontId="54" fillId="0" borderId="40" xfId="3" applyBorder="1"/>
    <xf numFmtId="0" fontId="54" fillId="0" borderId="41" xfId="3" applyBorder="1"/>
    <xf numFmtId="0" fontId="54" fillId="0" borderId="42" xfId="3" applyBorder="1"/>
    <xf numFmtId="43" fontId="65" fillId="5" borderId="5" xfId="4" quotePrefix="1" applyFont="1" applyFill="1" applyBorder="1" applyAlignment="1">
      <alignment horizontal="center"/>
    </xf>
    <xf numFmtId="0" fontId="65" fillId="5" borderId="4" xfId="3" applyFont="1" applyFill="1" applyBorder="1" applyAlignment="1">
      <alignment horizontal="center"/>
    </xf>
    <xf numFmtId="0" fontId="9" fillId="2" borderId="10" xfId="3" applyFont="1" applyFill="1" applyBorder="1" applyAlignment="1">
      <alignment horizontal="left"/>
    </xf>
    <xf numFmtId="0" fontId="63" fillId="2" borderId="11" xfId="3" applyFont="1" applyFill="1" applyBorder="1"/>
    <xf numFmtId="0" fontId="9" fillId="2" borderId="12" xfId="3" applyFont="1" applyFill="1" applyBorder="1" applyAlignment="1">
      <alignment horizontal="center"/>
    </xf>
    <xf numFmtId="0" fontId="9" fillId="2" borderId="16" xfId="3" applyFont="1" applyFill="1" applyBorder="1" applyAlignment="1">
      <alignment horizontal="left"/>
    </xf>
    <xf numFmtId="0" fontId="63" fillId="2" borderId="0" xfId="3" applyFont="1" applyFill="1" applyBorder="1"/>
    <xf numFmtId="0" fontId="9" fillId="2" borderId="17" xfId="3" applyFont="1" applyFill="1" applyBorder="1" applyAlignment="1">
      <alignment horizontal="center"/>
    </xf>
    <xf numFmtId="0" fontId="63" fillId="2" borderId="16" xfId="3" applyFont="1" applyFill="1" applyBorder="1"/>
    <xf numFmtId="0" fontId="9" fillId="2" borderId="17" xfId="3" applyFont="1" applyFill="1" applyBorder="1" applyAlignment="1">
      <alignment horizontal="left"/>
    </xf>
    <xf numFmtId="0" fontId="9" fillId="2" borderId="13" xfId="3" applyFont="1" applyFill="1" applyBorder="1" applyAlignment="1">
      <alignment horizontal="left"/>
    </xf>
    <xf numFmtId="0" fontId="63" fillId="2" borderId="9" xfId="3" applyFont="1" applyFill="1" applyBorder="1" applyAlignment="1">
      <alignment horizontal="center"/>
    </xf>
    <xf numFmtId="0" fontId="9" fillId="2" borderId="7" xfId="3" applyFont="1" applyFill="1" applyBorder="1" applyAlignment="1">
      <alignment horizontal="center"/>
    </xf>
    <xf numFmtId="0" fontId="44" fillId="2" borderId="14" xfId="3" quotePrefix="1" applyFont="1" applyFill="1" applyBorder="1" applyAlignment="1">
      <alignment horizontal="center"/>
    </xf>
    <xf numFmtId="0" fontId="44" fillId="2" borderId="6" xfId="3" quotePrefix="1" applyFont="1" applyFill="1" applyBorder="1" applyAlignment="1">
      <alignment horizontal="center"/>
    </xf>
    <xf numFmtId="0" fontId="68" fillId="3" borderId="16" xfId="0" applyFont="1" applyFill="1" applyBorder="1"/>
    <xf numFmtId="0" fontId="0" fillId="3" borderId="0" xfId="0" applyFill="1" applyBorder="1"/>
    <xf numFmtId="0" fontId="0" fillId="3" borderId="17" xfId="0" applyFill="1" applyBorder="1"/>
    <xf numFmtId="0" fontId="68" fillId="3" borderId="13" xfId="0" applyFont="1" applyFill="1" applyBorder="1"/>
    <xf numFmtId="0" fontId="0" fillId="3" borderId="9" xfId="0" applyFill="1" applyBorder="1"/>
    <xf numFmtId="0" fontId="0" fillId="3" borderId="7" xfId="0" applyFill="1" applyBorder="1"/>
    <xf numFmtId="0" fontId="65" fillId="5" borderId="33" xfId="3" applyFont="1" applyFill="1" applyBorder="1" applyAlignment="1">
      <alignment horizontal="center" vertical="center"/>
    </xf>
    <xf numFmtId="0" fontId="69" fillId="5" borderId="13" xfId="3" applyFont="1" applyFill="1" applyBorder="1"/>
    <xf numFmtId="43" fontId="65" fillId="5" borderId="7" xfId="4" quotePrefix="1" applyFont="1" applyFill="1" applyBorder="1"/>
    <xf numFmtId="0" fontId="69" fillId="5" borderId="10" xfId="3" applyFont="1" applyFill="1" applyBorder="1"/>
    <xf numFmtId="43" fontId="65" fillId="5" borderId="12" xfId="4" quotePrefix="1" applyFont="1" applyFill="1" applyBorder="1"/>
    <xf numFmtId="0" fontId="46" fillId="5" borderId="35" xfId="3" applyFont="1" applyFill="1" applyBorder="1"/>
    <xf numFmtId="0" fontId="54" fillId="5" borderId="34" xfId="3" applyFill="1" applyBorder="1"/>
    <xf numFmtId="0" fontId="63" fillId="5" borderId="0" xfId="3" applyFont="1" applyFill="1" applyBorder="1"/>
    <xf numFmtId="0" fontId="64" fillId="5" borderId="34" xfId="3" applyFont="1" applyFill="1" applyBorder="1"/>
    <xf numFmtId="0" fontId="4" fillId="5" borderId="33" xfId="3" applyFont="1" applyFill="1" applyBorder="1"/>
    <xf numFmtId="0" fontId="54" fillId="5" borderId="0" xfId="3" applyFill="1" applyBorder="1"/>
    <xf numFmtId="0" fontId="71" fillId="0" borderId="0" xfId="0" applyFont="1" applyProtection="1">
      <protection hidden="1"/>
    </xf>
    <xf numFmtId="2" fontId="5" fillId="0" borderId="2" xfId="0" applyNumberFormat="1" applyFont="1" applyFill="1" applyBorder="1" applyAlignment="1" applyProtection="1">
      <alignment horizontal="center"/>
      <protection locked="0"/>
    </xf>
    <xf numFmtId="165" fontId="5" fillId="0" borderId="1" xfId="0" applyNumberFormat="1" applyFont="1" applyFill="1" applyBorder="1" applyAlignment="1" applyProtection="1">
      <alignment horizontal="center"/>
      <protection locked="0"/>
    </xf>
    <xf numFmtId="2" fontId="5" fillId="0" borderId="1" xfId="0" applyNumberFormat="1" applyFont="1" applyFill="1" applyBorder="1" applyAlignment="1" applyProtection="1">
      <alignment horizontal="center"/>
      <protection locked="0"/>
    </xf>
    <xf numFmtId="0" fontId="29" fillId="0" borderId="0" xfId="0" applyFont="1"/>
    <xf numFmtId="0" fontId="37" fillId="2" borderId="0" xfId="0" applyFont="1" applyFill="1" applyBorder="1" applyProtection="1">
      <protection hidden="1"/>
    </xf>
    <xf numFmtId="0" fontId="7" fillId="2" borderId="0" xfId="0" applyFont="1" applyFill="1" applyBorder="1" applyProtection="1">
      <protection hidden="1"/>
    </xf>
    <xf numFmtId="0" fontId="10" fillId="2" borderId="0" xfId="0" applyFont="1" applyFill="1" applyBorder="1" applyProtection="1">
      <protection hidden="1"/>
    </xf>
    <xf numFmtId="0" fontId="0" fillId="2" borderId="0" xfId="0" applyFill="1" applyBorder="1" applyProtection="1">
      <protection hidden="1"/>
    </xf>
    <xf numFmtId="0" fontId="5" fillId="0" borderId="0" xfId="0" applyFont="1" applyFill="1"/>
    <xf numFmtId="0" fontId="0" fillId="0" borderId="0" xfId="0" applyFill="1"/>
    <xf numFmtId="0" fontId="1" fillId="0" borderId="0" xfId="0" applyFont="1" applyFill="1"/>
    <xf numFmtId="0" fontId="17" fillId="2" borderId="0" xfId="0" applyFont="1" applyFill="1" applyAlignment="1">
      <alignment horizontal="right"/>
    </xf>
    <xf numFmtId="2" fontId="17" fillId="2" borderId="1" xfId="0" applyNumberFormat="1" applyFont="1" applyFill="1" applyBorder="1" applyAlignment="1" applyProtection="1">
      <alignment horizontal="center"/>
      <protection locked="0"/>
    </xf>
    <xf numFmtId="0" fontId="5" fillId="2" borderId="43" xfId="0" applyFont="1" applyFill="1" applyBorder="1"/>
    <xf numFmtId="0" fontId="1" fillId="0" borderId="0" xfId="0" quotePrefix="1" applyFont="1"/>
    <xf numFmtId="2" fontId="10" fillId="2" borderId="2" xfId="0" applyNumberFormat="1" applyFont="1" applyFill="1" applyBorder="1" applyAlignment="1" applyProtection="1">
      <alignment horizontal="center"/>
      <protection locked="0"/>
    </xf>
    <xf numFmtId="0" fontId="5" fillId="2" borderId="6" xfId="0" applyFont="1" applyFill="1" applyBorder="1" applyAlignment="1">
      <alignment horizontal="left"/>
    </xf>
    <xf numFmtId="164" fontId="8" fillId="0" borderId="0" xfId="0" applyNumberFormat="1" applyFont="1" applyFill="1" applyBorder="1" applyAlignment="1" applyProtection="1">
      <alignment horizontal="center"/>
      <protection locked="0"/>
    </xf>
    <xf numFmtId="164" fontId="8" fillId="0" borderId="0" xfId="0" applyNumberFormat="1" applyFont="1" applyFill="1" applyAlignment="1" applyProtection="1">
      <alignment horizontal="center"/>
      <protection locked="0"/>
    </xf>
    <xf numFmtId="0" fontId="10" fillId="2" borderId="8" xfId="0" applyFont="1" applyFill="1" applyBorder="1"/>
    <xf numFmtId="0" fontId="5" fillId="2" borderId="5" xfId="0" applyFont="1" applyFill="1" applyBorder="1"/>
    <xf numFmtId="2" fontId="8" fillId="0" borderId="1" xfId="0" quotePrefix="1" applyNumberFormat="1" applyFont="1" applyFill="1" applyBorder="1" applyAlignment="1" applyProtection="1">
      <alignment horizontal="center"/>
      <protection locked="0"/>
    </xf>
    <xf numFmtId="0" fontId="5" fillId="0" borderId="0" xfId="0" quotePrefix="1" applyFont="1" applyFill="1" applyAlignment="1">
      <alignment horizontal="right"/>
    </xf>
    <xf numFmtId="164" fontId="8" fillId="0" borderId="1" xfId="0" quotePrefix="1" applyNumberFormat="1" applyFont="1" applyFill="1" applyBorder="1" applyAlignment="1" applyProtection="1">
      <alignment horizontal="center"/>
      <protection locked="0"/>
    </xf>
    <xf numFmtId="2" fontId="17" fillId="0" borderId="2" xfId="0" quotePrefix="1" applyNumberFormat="1" applyFont="1" applyFill="1" applyBorder="1" applyAlignment="1" applyProtection="1">
      <alignment horizontal="center"/>
      <protection locked="0"/>
    </xf>
    <xf numFmtId="2" fontId="17" fillId="0" borderId="1" xfId="0" applyNumberFormat="1" applyFont="1" applyFill="1" applyBorder="1" applyAlignment="1" applyProtection="1">
      <alignment horizontal="center"/>
      <protection locked="0"/>
    </xf>
    <xf numFmtId="10" fontId="10" fillId="0" borderId="1" xfId="0" applyNumberFormat="1" applyFont="1" applyFill="1" applyBorder="1" applyAlignment="1" applyProtection="1">
      <alignment horizontal="center"/>
      <protection locked="0"/>
    </xf>
    <xf numFmtId="0" fontId="9" fillId="3" borderId="26" xfId="0" applyFont="1" applyFill="1" applyBorder="1" applyAlignment="1" applyProtection="1">
      <alignment vertical="center" wrapText="1"/>
      <protection locked="0"/>
    </xf>
    <xf numFmtId="3" fontId="72" fillId="0" borderId="7" xfId="0" applyNumberFormat="1" applyFont="1" applyBorder="1" applyAlignment="1" applyProtection="1">
      <alignment horizontal="center" vertical="center"/>
      <protection hidden="1"/>
    </xf>
    <xf numFmtId="14" fontId="14" fillId="0" borderId="4" xfId="0" applyNumberFormat="1" applyFont="1" applyBorder="1" applyAlignment="1" applyProtection="1">
      <alignment horizontal="center"/>
      <protection hidden="1"/>
    </xf>
    <xf numFmtId="0" fontId="35" fillId="2" borderId="0" xfId="0" applyFont="1" applyFill="1" applyProtection="1">
      <protection hidden="1"/>
    </xf>
    <xf numFmtId="0" fontId="46" fillId="0" borderId="0" xfId="0" applyFont="1" applyAlignment="1">
      <alignment horizontal="left" vertical="center"/>
    </xf>
    <xf numFmtId="10" fontId="42" fillId="2" borderId="39" xfId="3" quotePrefix="1" applyNumberFormat="1" applyFont="1" applyFill="1" applyBorder="1" applyAlignment="1">
      <alignment horizontal="center"/>
    </xf>
    <xf numFmtId="43" fontId="70" fillId="5" borderId="8" xfId="4" quotePrefix="1" applyFont="1" applyFill="1" applyBorder="1" applyAlignment="1">
      <alignment horizontal="center"/>
    </xf>
    <xf numFmtId="43" fontId="70" fillId="5" borderId="5" xfId="4" quotePrefix="1" applyFont="1" applyFill="1" applyBorder="1" applyAlignment="1">
      <alignment horizontal="center"/>
    </xf>
    <xf numFmtId="0" fontId="67" fillId="3" borderId="10" xfId="0" applyFont="1" applyFill="1" applyBorder="1" applyAlignment="1">
      <alignment horizontal="center" vertical="center" wrapText="1"/>
    </xf>
    <xf numFmtId="0" fontId="67" fillId="3" borderId="11" xfId="0" applyFont="1" applyFill="1" applyBorder="1" applyAlignment="1">
      <alignment horizontal="center" vertical="center" wrapText="1"/>
    </xf>
    <xf numFmtId="0" fontId="67" fillId="3" borderId="12" xfId="0" applyFont="1" applyFill="1" applyBorder="1" applyAlignment="1">
      <alignment horizontal="center" vertical="center" wrapText="1"/>
    </xf>
    <xf numFmtId="0" fontId="67" fillId="3" borderId="16" xfId="0" applyFont="1" applyFill="1" applyBorder="1" applyAlignment="1">
      <alignment horizontal="center" vertical="center" wrapText="1"/>
    </xf>
    <xf numFmtId="0" fontId="67" fillId="3" borderId="0" xfId="0" applyFont="1" applyFill="1" applyBorder="1" applyAlignment="1">
      <alignment horizontal="center" vertical="center" wrapText="1"/>
    </xf>
    <xf numFmtId="0" fontId="67" fillId="3" borderId="17" xfId="0" applyFont="1" applyFill="1" applyBorder="1" applyAlignment="1">
      <alignment horizontal="center" vertical="center" wrapText="1"/>
    </xf>
    <xf numFmtId="0" fontId="52" fillId="2" borderId="27" xfId="0" applyFont="1" applyFill="1" applyBorder="1" applyAlignment="1">
      <alignment horizontal="center" vertical="center" wrapText="1"/>
    </xf>
    <xf numFmtId="0" fontId="52" fillId="2" borderId="28" xfId="0" applyFont="1" applyFill="1" applyBorder="1" applyAlignment="1">
      <alignment horizontal="center" vertical="center" wrapText="1"/>
    </xf>
    <xf numFmtId="0" fontId="52" fillId="2" borderId="29" xfId="0" applyFont="1" applyFill="1" applyBorder="1" applyAlignment="1">
      <alignment horizontal="center" vertical="center" wrapText="1"/>
    </xf>
    <xf numFmtId="0" fontId="59" fillId="2" borderId="10" xfId="0" applyFont="1" applyFill="1" applyBorder="1" applyAlignment="1">
      <alignment horizontal="center" vertical="center" wrapText="1"/>
    </xf>
    <xf numFmtId="0" fontId="59" fillId="2" borderId="11" xfId="0" applyFont="1" applyFill="1" applyBorder="1" applyAlignment="1">
      <alignment horizontal="center" vertical="center" wrapText="1"/>
    </xf>
    <xf numFmtId="0" fontId="59" fillId="2" borderId="16" xfId="0" applyFont="1" applyFill="1" applyBorder="1" applyAlignment="1">
      <alignment horizontal="center" vertical="center" wrapText="1"/>
    </xf>
    <xf numFmtId="0" fontId="59" fillId="2" borderId="0" xfId="0" applyFont="1" applyFill="1" applyBorder="1" applyAlignment="1">
      <alignment horizontal="center" vertical="center" wrapText="1"/>
    </xf>
    <xf numFmtId="0" fontId="59" fillId="2" borderId="13" xfId="0" applyFont="1" applyFill="1" applyBorder="1" applyAlignment="1">
      <alignment horizontal="center" vertical="center" wrapText="1"/>
    </xf>
    <xf numFmtId="0" fontId="59" fillId="2" borderId="9" xfId="0" applyFont="1" applyFill="1" applyBorder="1" applyAlignment="1">
      <alignment horizontal="center" vertical="center" wrapText="1"/>
    </xf>
    <xf numFmtId="43" fontId="74" fillId="2" borderId="11" xfId="0" applyNumberFormat="1" applyFont="1" applyFill="1" applyBorder="1" applyAlignment="1">
      <alignment horizontal="center" vertical="center"/>
    </xf>
    <xf numFmtId="0" fontId="74" fillId="2" borderId="11" xfId="0" applyFont="1" applyFill="1" applyBorder="1" applyAlignment="1">
      <alignment horizontal="center" vertical="center"/>
    </xf>
    <xf numFmtId="0" fontId="74" fillId="2" borderId="12" xfId="0" applyFont="1" applyFill="1" applyBorder="1" applyAlignment="1">
      <alignment horizontal="center" vertical="center"/>
    </xf>
    <xf numFmtId="0" fontId="74" fillId="2" borderId="0" xfId="0" applyFont="1" applyFill="1" applyBorder="1" applyAlignment="1">
      <alignment horizontal="center" vertical="center"/>
    </xf>
    <xf numFmtId="0" fontId="74" fillId="2" borderId="17" xfId="0" applyFont="1" applyFill="1" applyBorder="1" applyAlignment="1">
      <alignment horizontal="center" vertical="center"/>
    </xf>
    <xf numFmtId="0" fontId="74" fillId="2" borderId="9" xfId="0" applyFont="1" applyFill="1" applyBorder="1" applyAlignment="1">
      <alignment horizontal="center" vertical="center"/>
    </xf>
    <xf numFmtId="0" fontId="74" fillId="2" borderId="7" xfId="0" applyFont="1" applyFill="1" applyBorder="1" applyAlignment="1">
      <alignment horizontal="center" vertical="center"/>
    </xf>
    <xf numFmtId="0" fontId="60" fillId="4" borderId="30" xfId="3" applyFont="1" applyFill="1" applyBorder="1" applyAlignment="1">
      <alignment horizontal="center" vertical="center"/>
    </xf>
    <xf numFmtId="0" fontId="60" fillId="4" borderId="31" xfId="3" applyFont="1" applyFill="1" applyBorder="1" applyAlignment="1">
      <alignment horizontal="center" vertical="center"/>
    </xf>
    <xf numFmtId="0" fontId="60" fillId="4" borderId="32" xfId="3" applyFont="1" applyFill="1" applyBorder="1" applyAlignment="1">
      <alignment horizontal="center" vertical="center"/>
    </xf>
    <xf numFmtId="0" fontId="44" fillId="2" borderId="21" xfId="0" applyFont="1" applyFill="1" applyBorder="1" applyAlignment="1">
      <alignment horizontal="center" vertical="center"/>
    </xf>
    <xf numFmtId="0" fontId="44" fillId="2" borderId="0" xfId="0" applyFont="1" applyFill="1" applyBorder="1" applyAlignment="1">
      <alignment horizontal="center" vertical="center"/>
    </xf>
    <xf numFmtId="0" fontId="44" fillId="2" borderId="22" xfId="0" applyFont="1" applyFill="1" applyBorder="1" applyAlignment="1">
      <alignment horizontal="center" vertical="center"/>
    </xf>
    <xf numFmtId="0" fontId="44" fillId="2" borderId="23" xfId="0" applyFont="1" applyFill="1" applyBorder="1" applyAlignment="1">
      <alignment horizontal="center" vertical="center"/>
    </xf>
    <xf numFmtId="0" fontId="44" fillId="2" borderId="24" xfId="0" applyFont="1" applyFill="1" applyBorder="1" applyAlignment="1">
      <alignment horizontal="center" vertical="center"/>
    </xf>
    <xf numFmtId="0" fontId="44" fillId="2" borderId="25" xfId="0" applyFont="1" applyFill="1" applyBorder="1" applyAlignment="1">
      <alignment horizontal="center" vertical="center"/>
    </xf>
    <xf numFmtId="0" fontId="35" fillId="2" borderId="11" xfId="0" applyFont="1" applyFill="1" applyBorder="1" applyAlignment="1" applyProtection="1">
      <alignment horizontal="left" vertical="top" wrapText="1"/>
      <protection hidden="1"/>
    </xf>
    <xf numFmtId="0" fontId="35" fillId="2" borderId="0" xfId="0" applyFont="1" applyFill="1" applyBorder="1" applyAlignment="1" applyProtection="1">
      <alignment horizontal="left" vertical="top" wrapText="1"/>
      <protection hidden="1"/>
    </xf>
    <xf numFmtId="0" fontId="35" fillId="2" borderId="14" xfId="0" applyFont="1" applyFill="1" applyBorder="1" applyAlignment="1" applyProtection="1">
      <alignment vertical="top" wrapText="1"/>
      <protection hidden="1"/>
    </xf>
    <xf numFmtId="0" fontId="35" fillId="2" borderId="15" xfId="0" applyFont="1" applyFill="1" applyBorder="1" applyAlignment="1" applyProtection="1">
      <alignment vertical="top" wrapText="1"/>
      <protection hidden="1"/>
    </xf>
    <xf numFmtId="0" fontId="35" fillId="2" borderId="6" xfId="0" applyFont="1" applyFill="1" applyBorder="1" applyAlignment="1" applyProtection="1">
      <alignment vertical="top" wrapText="1"/>
      <protection hidden="1"/>
    </xf>
    <xf numFmtId="0" fontId="17" fillId="2" borderId="10"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7" xfId="0" applyFont="1" applyFill="1" applyBorder="1" applyAlignment="1">
      <alignment horizontal="center" vertical="center"/>
    </xf>
  </cellXfs>
  <cellStyles count="5">
    <cellStyle name="Comma [0]" xfId="2" builtinId="6"/>
    <cellStyle name="Comma 2" xfId="4"/>
    <cellStyle name="Normal" xfId="0" builtinId="0"/>
    <cellStyle name="Normal 2" xfId="3"/>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289560</xdr:colOff>
      <xdr:row>5</xdr:row>
      <xdr:rowOff>91440</xdr:rowOff>
    </xdr:from>
    <xdr:to>
      <xdr:col>5</xdr:col>
      <xdr:colOff>358140</xdr:colOff>
      <xdr:row>10</xdr:row>
      <xdr:rowOff>213360</xdr:rowOff>
    </xdr:to>
    <xdr:sp macro="" textlink="">
      <xdr:nvSpPr>
        <xdr:cNvPr id="2" name="Up Arrow 1">
          <a:extLst>
            <a:ext uri="{FF2B5EF4-FFF2-40B4-BE49-F238E27FC236}">
              <a16:creationId xmlns:a16="http://schemas.microsoft.com/office/drawing/2014/main" id="{00000000-0008-0000-0000-000002000000}"/>
            </a:ext>
          </a:extLst>
        </xdr:cNvPr>
        <xdr:cNvSpPr/>
      </xdr:nvSpPr>
      <xdr:spPr>
        <a:xfrm>
          <a:off x="11010900" y="1181100"/>
          <a:ext cx="1287780" cy="1325880"/>
        </a:xfrm>
        <a:prstGeom prst="upArrow">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4082143</xdr:colOff>
      <xdr:row>17</xdr:row>
      <xdr:rowOff>150223</xdr:rowOff>
    </xdr:from>
    <xdr:to>
      <xdr:col>0</xdr:col>
      <xdr:colOff>4699363</xdr:colOff>
      <xdr:row>19</xdr:row>
      <xdr:rowOff>3266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082143" y="4927963"/>
          <a:ext cx="617220" cy="25690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rgbClr val="FF0000"/>
              </a:solidFill>
            </a:rPr>
            <a:t>28%</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81280</xdr:colOff>
      <xdr:row>1</xdr:row>
      <xdr:rowOff>142875</xdr:rowOff>
    </xdr:from>
    <xdr:to>
      <xdr:col>13</xdr:col>
      <xdr:colOff>2540</xdr:colOff>
      <xdr:row>18</xdr:row>
      <xdr:rowOff>99060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1280" y="310515"/>
          <a:ext cx="7747000" cy="280606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You will see below</a:t>
          </a:r>
          <a:r>
            <a:rPr lang="en-US" sz="1400" b="1" baseline="0"/>
            <a:t> 4 </a:t>
          </a:r>
          <a:r>
            <a:rPr lang="en-US" sz="1400" b="1" baseline="0">
              <a:solidFill>
                <a:srgbClr val="00B050"/>
              </a:solidFill>
            </a:rPr>
            <a:t>"green" </a:t>
          </a:r>
          <a:r>
            <a:rPr lang="en-US" sz="1400" b="1" baseline="0"/>
            <a:t>tabs and 5 </a:t>
          </a:r>
          <a:r>
            <a:rPr lang="en-US" sz="1400" b="1" baseline="0">
              <a:solidFill>
                <a:srgbClr val="FF0000"/>
              </a:solidFill>
            </a:rPr>
            <a:t>"red </a:t>
          </a:r>
          <a:r>
            <a:rPr lang="en-US" sz="1400" b="1" baseline="0"/>
            <a:t>tabs"</a:t>
          </a:r>
          <a:r>
            <a:rPr lang="en-US" sz="1400" baseline="0"/>
            <a:t>.</a:t>
          </a:r>
        </a:p>
        <a:p>
          <a:endParaRPr lang="en-US" sz="1400" baseline="0"/>
        </a:p>
        <a:p>
          <a:r>
            <a:rPr lang="en-US" sz="1400" b="1" baseline="0">
              <a:solidFill>
                <a:srgbClr val="00B050"/>
              </a:solidFill>
            </a:rPr>
            <a:t>Green Tabs</a:t>
          </a:r>
          <a:r>
            <a:rPr lang="en-US" sz="1400" baseline="0"/>
            <a:t> Represent the information you will need to compute the answers required in the red tabs.  </a:t>
          </a:r>
        </a:p>
        <a:p>
          <a:endParaRPr lang="en-US" sz="1400" baseline="0"/>
        </a:p>
        <a:p>
          <a:endParaRPr lang="en-US" sz="1400" baseline="0"/>
        </a:p>
        <a:p>
          <a:r>
            <a:rPr lang="en-US" sz="1400" baseline="0"/>
            <a:t>The </a:t>
          </a:r>
          <a:r>
            <a:rPr lang="en-US" sz="1400" b="1" baseline="0">
              <a:solidFill>
                <a:srgbClr val="FF0000"/>
              </a:solidFill>
            </a:rPr>
            <a:t>Red tabs </a:t>
          </a:r>
          <a:r>
            <a:rPr lang="en-US" sz="1400" baseline="0"/>
            <a:t>represent where you will place your answers.</a:t>
          </a:r>
        </a:p>
        <a:p>
          <a:r>
            <a:rPr lang="en-US" sz="1400" baseline="0"/>
            <a:t>In each red tab you will need to fill in each </a:t>
          </a:r>
          <a:r>
            <a:rPr lang="en-US" sz="1400" b="1" u="sng" baseline="0"/>
            <a:t>box</a:t>
          </a:r>
          <a:r>
            <a:rPr lang="en-US" sz="1400" baseline="0"/>
            <a:t> where a calcuclated amount is required.</a:t>
          </a:r>
        </a:p>
        <a:p>
          <a:endParaRPr lang="en-US" sz="1400" baseline="0"/>
        </a:p>
        <a:p>
          <a:pPr>
            <a:lnSpc>
              <a:spcPts val="1600"/>
            </a:lnSpc>
          </a:pPr>
          <a:r>
            <a:rPr lang="en-US" sz="1400">
              <a:solidFill>
                <a:schemeClr val="dk1"/>
              </a:solidFill>
              <a:effectLst/>
              <a:latin typeface="+mn-lt"/>
              <a:ea typeface="+mn-ea"/>
              <a:cs typeface="+mn-cs"/>
            </a:rPr>
            <a:t>Using the accompanying financial statements (found in the </a:t>
          </a:r>
          <a:r>
            <a:rPr lang="en-US" sz="1400">
              <a:solidFill>
                <a:srgbClr val="00B050"/>
              </a:solidFill>
              <a:effectLst/>
              <a:latin typeface="+mn-lt"/>
              <a:ea typeface="+mn-ea"/>
              <a:cs typeface="+mn-cs"/>
            </a:rPr>
            <a:t>green tabs</a:t>
          </a:r>
          <a:r>
            <a:rPr lang="en-US" sz="1400">
              <a:solidFill>
                <a:schemeClr val="dk1"/>
              </a:solidFill>
              <a:effectLst/>
              <a:latin typeface="+mn-lt"/>
              <a:ea typeface="+mn-ea"/>
              <a:cs typeface="+mn-cs"/>
            </a:rPr>
            <a:t>), assess</a:t>
          </a:r>
          <a:r>
            <a:rPr lang="en-US" sz="1400" baseline="0">
              <a:solidFill>
                <a:schemeClr val="dk1"/>
              </a:solidFill>
              <a:effectLst/>
              <a:latin typeface="+mn-lt"/>
              <a:ea typeface="+mn-ea"/>
              <a:cs typeface="+mn-cs"/>
            </a:rPr>
            <a:t> </a:t>
          </a:r>
          <a:r>
            <a:rPr lang="en-US" sz="1400" baseline="0">
              <a:solidFill>
                <a:srgbClr val="0000FF"/>
              </a:solidFill>
              <a:effectLst/>
              <a:latin typeface="+mn-lt"/>
              <a:ea typeface="+mn-ea"/>
              <a:cs typeface="+mn-cs"/>
            </a:rPr>
            <a:t>Peninsular Wholesale </a:t>
          </a:r>
          <a:r>
            <a:rPr lang="en-US" sz="1400">
              <a:solidFill>
                <a:schemeClr val="dk1"/>
              </a:solidFill>
              <a:effectLst/>
              <a:latin typeface="+mn-lt"/>
              <a:ea typeface="+mn-ea"/>
              <a:cs typeface="+mn-cs"/>
            </a:rPr>
            <a:t>concerning liquidity, solvency, profitability, and stock performance. For each area, you should calculate the ratios we discussed in class.</a:t>
          </a:r>
        </a:p>
      </xdr:txBody>
    </xdr:sp>
    <xdr:clientData/>
  </xdr:twoCellAnchor>
  <xdr:twoCellAnchor>
    <xdr:from>
      <xdr:col>5</xdr:col>
      <xdr:colOff>373380</xdr:colOff>
      <xdr:row>3</xdr:row>
      <xdr:rowOff>76200</xdr:rowOff>
    </xdr:from>
    <xdr:to>
      <xdr:col>10</xdr:col>
      <xdr:colOff>586740</xdr:colOff>
      <xdr:row>27</xdr:row>
      <xdr:rowOff>129540</xdr:rowOff>
    </xdr:to>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a:xfrm>
          <a:off x="3383280" y="579120"/>
          <a:ext cx="3223260" cy="40767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83820</xdr:colOff>
      <xdr:row>28</xdr:row>
      <xdr:rowOff>101603</xdr:rowOff>
    </xdr:from>
    <xdr:to>
      <xdr:col>6</xdr:col>
      <xdr:colOff>457236</xdr:colOff>
      <xdr:row>30</xdr:row>
      <xdr:rowOff>95542</xdr:rowOff>
    </xdr:to>
    <xdr:sp macro="" textlink="">
      <xdr:nvSpPr>
        <xdr:cNvPr id="5" name="Left Brace 4">
          <a:extLst>
            <a:ext uri="{FF2B5EF4-FFF2-40B4-BE49-F238E27FC236}">
              <a16:creationId xmlns:a16="http://schemas.microsoft.com/office/drawing/2014/main" id="{00000000-0008-0000-0100-000005000000}"/>
            </a:ext>
          </a:extLst>
        </xdr:cNvPr>
        <xdr:cNvSpPr/>
      </xdr:nvSpPr>
      <xdr:spPr>
        <a:xfrm rot="5400000">
          <a:off x="3115818" y="4171445"/>
          <a:ext cx="329219" cy="1577376"/>
        </a:xfrm>
        <a:prstGeom prst="leftBrac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3</xdr:col>
      <xdr:colOff>259080</xdr:colOff>
      <xdr:row>3</xdr:row>
      <xdr:rowOff>60960</xdr:rowOff>
    </xdr:from>
    <xdr:to>
      <xdr:col>5</xdr:col>
      <xdr:colOff>270528</xdr:colOff>
      <xdr:row>28</xdr:row>
      <xdr:rowOff>101604</xdr:rowOff>
    </xdr:to>
    <xdr:cxnSp macro="">
      <xdr:nvCxnSpPr>
        <xdr:cNvPr id="9" name="Straight Arrow Connector 8">
          <a:extLst>
            <a:ext uri="{FF2B5EF4-FFF2-40B4-BE49-F238E27FC236}">
              <a16:creationId xmlns:a16="http://schemas.microsoft.com/office/drawing/2014/main" id="{00000000-0008-0000-0100-000009000000}"/>
            </a:ext>
          </a:extLst>
        </xdr:cNvPr>
        <xdr:cNvCxnSpPr>
          <a:endCxn id="5" idx="1"/>
        </xdr:cNvCxnSpPr>
      </xdr:nvCxnSpPr>
      <xdr:spPr>
        <a:xfrm>
          <a:off x="2065020" y="563880"/>
          <a:ext cx="1215408" cy="4231644"/>
        </a:xfrm>
        <a:prstGeom prst="straightConnector1">
          <a:avLst/>
        </a:prstGeom>
        <a:ln w="2540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99060</xdr:colOff>
      <xdr:row>24</xdr:row>
      <xdr:rowOff>129540</xdr:rowOff>
    </xdr:from>
    <xdr:to>
      <xdr:col>21</xdr:col>
      <xdr:colOff>91440</xdr:colOff>
      <xdr:row>31</xdr:row>
      <xdr:rowOff>137160</xdr:rowOff>
    </xdr:to>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8526780" y="4152900"/>
          <a:ext cx="4206240" cy="1181100"/>
        </a:xfrm>
        <a:prstGeom prst="rect">
          <a:avLst/>
        </a:prstGeom>
        <a:solidFill>
          <a:srgbClr val="FFFF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en-US" sz="1600" b="1">
              <a:solidFill>
                <a:srgbClr val="FF0000"/>
              </a:solidFill>
            </a:rPr>
            <a:t>Once</a:t>
          </a:r>
          <a:r>
            <a:rPr lang="en-US" sz="1600" b="1" baseline="0">
              <a:solidFill>
                <a:srgbClr val="FF0000"/>
              </a:solidFill>
            </a:rPr>
            <a:t> you  are done with your answers - submit the assignment through Bb also	 Upload to One Drive and share with me.  Be sure to use the proper file name - (See Top of Cover Sheet)</a:t>
          </a:r>
          <a:endParaRPr lang="en-US" sz="1600" b="1">
            <a:solidFill>
              <a:srgbClr val="FF0000"/>
            </a:solidFill>
          </a:endParaRPr>
        </a:p>
      </xdr:txBody>
    </xdr:sp>
    <xdr:clientData/>
  </xdr:twoCellAnchor>
  <xdr:twoCellAnchor>
    <xdr:from>
      <xdr:col>8</xdr:col>
      <xdr:colOff>22860</xdr:colOff>
      <xdr:row>27</xdr:row>
      <xdr:rowOff>101601</xdr:rowOff>
    </xdr:from>
    <xdr:to>
      <xdr:col>14</xdr:col>
      <xdr:colOff>408966</xdr:colOff>
      <xdr:row>30</xdr:row>
      <xdr:rowOff>128305</xdr:rowOff>
    </xdr:to>
    <xdr:sp macro="" textlink="">
      <xdr:nvSpPr>
        <xdr:cNvPr id="12" name="Left Brace 11">
          <a:extLst>
            <a:ext uri="{FF2B5EF4-FFF2-40B4-BE49-F238E27FC236}">
              <a16:creationId xmlns:a16="http://schemas.microsoft.com/office/drawing/2014/main" id="{00000000-0008-0000-0100-00000C000000}"/>
            </a:ext>
          </a:extLst>
        </xdr:cNvPr>
        <xdr:cNvSpPr/>
      </xdr:nvSpPr>
      <xdr:spPr>
        <a:xfrm rot="5400000">
          <a:off x="6572881" y="2893700"/>
          <a:ext cx="529624" cy="3997986"/>
        </a:xfrm>
        <a:prstGeom prst="leftBrace">
          <a:avLst>
            <a:gd name="adj1" fmla="val 8333"/>
            <a:gd name="adj2" fmla="val 56480"/>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14</xdr:col>
      <xdr:colOff>15240</xdr:colOff>
      <xdr:row>2</xdr:row>
      <xdr:rowOff>99695</xdr:rowOff>
    </xdr:from>
    <xdr:to>
      <xdr:col>21</xdr:col>
      <xdr:colOff>373496</xdr:colOff>
      <xdr:row>23</xdr:row>
      <xdr:rowOff>99695</xdr:rowOff>
    </xdr:to>
    <xdr:sp macro="" textlink="">
      <xdr:nvSpPr>
        <xdr:cNvPr id="18" name="TextBox 17">
          <a:extLst>
            <a:ext uri="{FF2B5EF4-FFF2-40B4-BE49-F238E27FC236}">
              <a16:creationId xmlns:a16="http://schemas.microsoft.com/office/drawing/2014/main" id="{00000000-0008-0000-0100-000012000000}"/>
            </a:ext>
          </a:extLst>
        </xdr:cNvPr>
        <xdr:cNvSpPr txBox="1"/>
      </xdr:nvSpPr>
      <xdr:spPr>
        <a:xfrm>
          <a:off x="8549640" y="289560"/>
          <a:ext cx="4587240" cy="352044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ysClr val="windowText" lastClr="000000"/>
              </a:solidFill>
            </a:rPr>
            <a:t>Legend</a:t>
          </a:r>
          <a:r>
            <a:rPr lang="en-US" sz="1100" b="1" u="sng" baseline="0">
              <a:solidFill>
                <a:sysClr val="windowText" lastClr="000000"/>
              </a:solidFill>
            </a:rPr>
            <a:t> for Tabs Listed Below</a:t>
          </a:r>
          <a:endParaRPr lang="en-US" sz="1100" b="1" u="sng">
            <a:solidFill>
              <a:sysClr val="windowText" lastClr="000000"/>
            </a:solidFill>
          </a:endParaRPr>
        </a:p>
        <a:p>
          <a:endParaRPr lang="en-US" sz="1100" b="1">
            <a:solidFill>
              <a:srgbClr val="00B050"/>
            </a:solidFill>
          </a:endParaRPr>
        </a:p>
        <a:p>
          <a:r>
            <a:rPr lang="en-US" sz="1100" b="1">
              <a:solidFill>
                <a:srgbClr val="00B050"/>
              </a:solidFill>
            </a:rPr>
            <a:t>Green Tabs </a:t>
          </a:r>
          <a:r>
            <a:rPr lang="en-US" sz="1100"/>
            <a:t>- Information Required</a:t>
          </a:r>
          <a:r>
            <a:rPr lang="en-US" sz="1100" baseline="0"/>
            <a:t> for Red Tab Answers</a:t>
          </a:r>
        </a:p>
        <a:p>
          <a:pPr>
            <a:lnSpc>
              <a:spcPts val="1300"/>
            </a:lnSpc>
          </a:pPr>
          <a:r>
            <a:rPr lang="en-US" sz="1100" b="1" baseline="0">
              <a:solidFill>
                <a:srgbClr val="00B050"/>
              </a:solidFill>
            </a:rPr>
            <a:t>1.  SP - Historical Stock Prices</a:t>
          </a:r>
        </a:p>
        <a:p>
          <a:r>
            <a:rPr lang="en-US" sz="1100" b="1" baseline="0">
              <a:solidFill>
                <a:srgbClr val="00B050"/>
              </a:solidFill>
            </a:rPr>
            <a:t>2.  IS  - Income Statement</a:t>
          </a:r>
        </a:p>
        <a:p>
          <a:pPr>
            <a:lnSpc>
              <a:spcPts val="1300"/>
            </a:lnSpc>
          </a:pPr>
          <a:r>
            <a:rPr lang="en-US" sz="1100" b="1" baseline="0">
              <a:solidFill>
                <a:srgbClr val="00B050"/>
              </a:solidFill>
            </a:rPr>
            <a:t>3.  BS - Balance Sheet</a:t>
          </a:r>
        </a:p>
        <a:p>
          <a:r>
            <a:rPr lang="en-US" sz="1100" b="1" baseline="0">
              <a:solidFill>
                <a:srgbClr val="00B050"/>
              </a:solidFill>
            </a:rPr>
            <a:t>4.  CF - Statement of Cash Flows</a:t>
          </a:r>
        </a:p>
        <a:p>
          <a:pPr>
            <a:lnSpc>
              <a:spcPts val="1300"/>
            </a:lnSpc>
          </a:pPr>
          <a:endParaRPr lang="en-US" sz="1100" b="1" baseline="0">
            <a:solidFill>
              <a:srgbClr val="00B050"/>
            </a:solidFill>
          </a:endParaRPr>
        </a:p>
        <a:p>
          <a:r>
            <a:rPr lang="en-US" sz="1100" b="1" baseline="0">
              <a:solidFill>
                <a:srgbClr val="FF0000"/>
              </a:solidFill>
            </a:rPr>
            <a:t>Red Tabs - </a:t>
          </a:r>
          <a:r>
            <a:rPr lang="en-US" sz="1100" b="0" baseline="0">
              <a:solidFill>
                <a:sysClr val="windowText" lastClr="000000"/>
              </a:solidFill>
            </a:rPr>
            <a:t>You will supply your answers in these tabs</a:t>
          </a:r>
        </a:p>
        <a:p>
          <a:pPr>
            <a:lnSpc>
              <a:spcPts val="1300"/>
            </a:lnSpc>
          </a:pPr>
          <a:r>
            <a:rPr lang="en-US" sz="1100" b="1" baseline="0">
              <a:solidFill>
                <a:sysClr val="windowText" lastClr="000000"/>
              </a:solidFill>
            </a:rPr>
            <a:t>Required</a:t>
          </a:r>
        </a:p>
        <a:p>
          <a:r>
            <a:rPr lang="en-US" sz="1100" b="0" baseline="0">
              <a:solidFill>
                <a:sysClr val="windowText" lastClr="000000"/>
              </a:solidFill>
            </a:rPr>
            <a:t>          1.  In the Boxes you will put your calculations for the ratio required</a:t>
          </a:r>
        </a:p>
        <a:p>
          <a:pPr>
            <a:lnSpc>
              <a:spcPts val="1300"/>
            </a:lnSpc>
          </a:pPr>
          <a:r>
            <a:rPr lang="en-US" sz="1100" b="0" baseline="0">
              <a:solidFill>
                <a:sysClr val="windowText" lastClr="000000"/>
              </a:solidFill>
            </a:rPr>
            <a:t>          </a:t>
          </a:r>
        </a:p>
        <a:p>
          <a:endParaRPr lang="en-US" sz="1100" b="0" baseline="0">
            <a:solidFill>
              <a:sysClr val="windowText" lastClr="000000"/>
            </a:solidFill>
          </a:endParaRPr>
        </a:p>
        <a:p>
          <a:r>
            <a:rPr lang="en-US" sz="1100" b="1" baseline="0">
              <a:solidFill>
                <a:srgbClr val="FF0000"/>
              </a:solidFill>
            </a:rPr>
            <a:t>1.  Short-Term          - Answers to your short term ratios</a:t>
          </a:r>
        </a:p>
        <a:p>
          <a:pPr>
            <a:lnSpc>
              <a:spcPts val="1300"/>
            </a:lnSpc>
          </a:pPr>
          <a:r>
            <a:rPr lang="en-US" sz="1100" b="1" baseline="0">
              <a:solidFill>
                <a:srgbClr val="FF0000"/>
              </a:solidFill>
            </a:rPr>
            <a:t>2.  Long-Term           - Answers to your long term ratios</a:t>
          </a:r>
        </a:p>
        <a:p>
          <a:r>
            <a:rPr lang="en-US" sz="1100" b="1" baseline="0">
              <a:solidFill>
                <a:srgbClr val="FF0000"/>
              </a:solidFill>
            </a:rPr>
            <a:t>3.  Profitability         - Answers to your profitability ratios</a:t>
          </a:r>
        </a:p>
        <a:p>
          <a:pPr>
            <a:lnSpc>
              <a:spcPts val="1300"/>
            </a:lnSpc>
          </a:pPr>
          <a:r>
            <a:rPr lang="en-US" sz="1100" b="1" baseline="0">
              <a:solidFill>
                <a:srgbClr val="FF0000"/>
              </a:solidFill>
            </a:rPr>
            <a:t>4.  DuPont Analysis - Answers to your DuPont Analysis Ratios</a:t>
          </a:r>
        </a:p>
        <a:p>
          <a:r>
            <a:rPr lang="en-US" sz="1100" b="1" baseline="0">
              <a:solidFill>
                <a:srgbClr val="FF0000"/>
              </a:solidFill>
            </a:rPr>
            <a:t>5.  Stock                     - Answers to your Stock Ratios</a:t>
          </a:r>
        </a:p>
        <a:p>
          <a:pPr>
            <a:lnSpc>
              <a:spcPts val="1300"/>
            </a:lnSpc>
          </a:pPr>
          <a:endParaRPr lang="en-US" sz="1100" b="1" baseline="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210820</xdr:colOff>
      <xdr:row>3</xdr:row>
      <xdr:rowOff>15240</xdr:rowOff>
    </xdr:from>
    <xdr:to>
      <xdr:col>7</xdr:col>
      <xdr:colOff>76200</xdr:colOff>
      <xdr:row>14</xdr:row>
      <xdr:rowOff>30473</xdr:rowOff>
    </xdr:to>
    <xdr:sp macro="" textlink="">
      <xdr:nvSpPr>
        <xdr:cNvPr id="2" name="Right Brace 1">
          <a:extLst>
            <a:ext uri="{FF2B5EF4-FFF2-40B4-BE49-F238E27FC236}">
              <a16:creationId xmlns:a16="http://schemas.microsoft.com/office/drawing/2014/main" id="{00000000-0008-0000-0600-000002000000}"/>
            </a:ext>
          </a:extLst>
        </xdr:cNvPr>
        <xdr:cNvSpPr/>
      </xdr:nvSpPr>
      <xdr:spPr>
        <a:xfrm>
          <a:off x="6604000" y="845820"/>
          <a:ext cx="467360" cy="2537453"/>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510540</xdr:colOff>
      <xdr:row>2</xdr:row>
      <xdr:rowOff>40640</xdr:rowOff>
    </xdr:from>
    <xdr:to>
      <xdr:col>6</xdr:col>
      <xdr:colOff>381000</xdr:colOff>
      <xdr:row>9</xdr:row>
      <xdr:rowOff>109220</xdr:rowOff>
    </xdr:to>
    <xdr:sp macro="" textlink="">
      <xdr:nvSpPr>
        <xdr:cNvPr id="4" name="Right Brace 3">
          <a:extLst>
            <a:ext uri="{FF2B5EF4-FFF2-40B4-BE49-F238E27FC236}">
              <a16:creationId xmlns:a16="http://schemas.microsoft.com/office/drawing/2014/main" id="{00000000-0008-0000-0700-000004000000}"/>
            </a:ext>
          </a:extLst>
        </xdr:cNvPr>
        <xdr:cNvSpPr/>
      </xdr:nvSpPr>
      <xdr:spPr>
        <a:xfrm>
          <a:off x="4907280" y="495300"/>
          <a:ext cx="480060" cy="1196340"/>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editAs="oneCell">
    <xdr:from>
      <xdr:col>1</xdr:col>
      <xdr:colOff>53340</xdr:colOff>
      <xdr:row>15</xdr:row>
      <xdr:rowOff>68580</xdr:rowOff>
    </xdr:from>
    <xdr:to>
      <xdr:col>5</xdr:col>
      <xdr:colOff>129539</xdr:colOff>
      <xdr:row>18</xdr:row>
      <xdr:rowOff>99060</xdr:rowOff>
    </xdr:to>
    <xdr:pic>
      <xdr:nvPicPr>
        <xdr:cNvPr id="3" name="Picture 3">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680" y="2865120"/>
          <a:ext cx="3116580" cy="556260"/>
        </a:xfrm>
        <a:prstGeom prst="rect">
          <a:avLst/>
        </a:prstGeom>
        <a:noFill/>
        <a:ln w="28575">
          <a:solidFill>
            <a:srgbClr val="FF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381000</xdr:colOff>
      <xdr:row>4</xdr:row>
      <xdr:rowOff>109220</xdr:rowOff>
    </xdr:from>
    <xdr:to>
      <xdr:col>6</xdr:col>
      <xdr:colOff>226178</xdr:colOff>
      <xdr:row>22</xdr:row>
      <xdr:rowOff>116264</xdr:rowOff>
    </xdr:to>
    <xdr:sp macro="" textlink="">
      <xdr:nvSpPr>
        <xdr:cNvPr id="4" name="Right Brace 3">
          <a:extLst>
            <a:ext uri="{FF2B5EF4-FFF2-40B4-BE49-F238E27FC236}">
              <a16:creationId xmlns:a16="http://schemas.microsoft.com/office/drawing/2014/main" id="{00000000-0008-0000-0800-000004000000}"/>
            </a:ext>
          </a:extLst>
        </xdr:cNvPr>
        <xdr:cNvSpPr/>
      </xdr:nvSpPr>
      <xdr:spPr>
        <a:xfrm>
          <a:off x="5661660" y="937260"/>
          <a:ext cx="480060" cy="2080260"/>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0</xdr:col>
      <xdr:colOff>906780</xdr:colOff>
      <xdr:row>30</xdr:row>
      <xdr:rowOff>99060</xdr:rowOff>
    </xdr:from>
    <xdr:to>
      <xdr:col>0</xdr:col>
      <xdr:colOff>2788920</xdr:colOff>
      <xdr:row>30</xdr:row>
      <xdr:rowOff>99060</xdr:rowOff>
    </xdr:to>
    <xdr:cxnSp macro="">
      <xdr:nvCxnSpPr>
        <xdr:cNvPr id="3" name="Straight Arrow Connector 2">
          <a:extLst>
            <a:ext uri="{FF2B5EF4-FFF2-40B4-BE49-F238E27FC236}">
              <a16:creationId xmlns:a16="http://schemas.microsoft.com/office/drawing/2014/main" id="{00000000-0008-0000-0800-000003000000}"/>
            </a:ext>
          </a:extLst>
        </xdr:cNvPr>
        <xdr:cNvCxnSpPr/>
      </xdr:nvCxnSpPr>
      <xdr:spPr>
        <a:xfrm>
          <a:off x="906780" y="4404360"/>
          <a:ext cx="1882140" cy="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88900</xdr:colOff>
      <xdr:row>2</xdr:row>
      <xdr:rowOff>143510</xdr:rowOff>
    </xdr:from>
    <xdr:to>
      <xdr:col>5</xdr:col>
      <xdr:colOff>606859</xdr:colOff>
      <xdr:row>9</xdr:row>
      <xdr:rowOff>7608</xdr:rowOff>
    </xdr:to>
    <xdr:sp macro="" textlink="">
      <xdr:nvSpPr>
        <xdr:cNvPr id="3" name="Right Brace 2">
          <a:extLst>
            <a:ext uri="{FF2B5EF4-FFF2-40B4-BE49-F238E27FC236}">
              <a16:creationId xmlns:a16="http://schemas.microsoft.com/office/drawing/2014/main" id="{00000000-0008-0000-0900-000003000000}"/>
            </a:ext>
          </a:extLst>
        </xdr:cNvPr>
        <xdr:cNvSpPr/>
      </xdr:nvSpPr>
      <xdr:spPr>
        <a:xfrm>
          <a:off x="5242560" y="579120"/>
          <a:ext cx="480060" cy="1188720"/>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2</xdr:row>
      <xdr:rowOff>103505</xdr:rowOff>
    </xdr:from>
    <xdr:to>
      <xdr:col>6</xdr:col>
      <xdr:colOff>517959</xdr:colOff>
      <xdr:row>16</xdr:row>
      <xdr:rowOff>78765</xdr:rowOff>
    </xdr:to>
    <xdr:sp macro="" textlink="">
      <xdr:nvSpPr>
        <xdr:cNvPr id="3" name="Right Brace 2">
          <a:extLst>
            <a:ext uri="{FF2B5EF4-FFF2-40B4-BE49-F238E27FC236}">
              <a16:creationId xmlns:a16="http://schemas.microsoft.com/office/drawing/2014/main" id="{00000000-0008-0000-0A00-000003000000}"/>
            </a:ext>
          </a:extLst>
        </xdr:cNvPr>
        <xdr:cNvSpPr/>
      </xdr:nvSpPr>
      <xdr:spPr>
        <a:xfrm>
          <a:off x="6073140" y="548640"/>
          <a:ext cx="480060" cy="2072640"/>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1</xdr:col>
      <xdr:colOff>289560</xdr:colOff>
      <xdr:row>25</xdr:row>
      <xdr:rowOff>144780</xdr:rowOff>
    </xdr:from>
    <xdr:to>
      <xdr:col>1</xdr:col>
      <xdr:colOff>685800</xdr:colOff>
      <xdr:row>29</xdr:row>
      <xdr:rowOff>22860</xdr:rowOff>
    </xdr:to>
    <xdr:sp macro="" textlink="">
      <xdr:nvSpPr>
        <xdr:cNvPr id="2" name="Right Brace 1">
          <a:extLst>
            <a:ext uri="{FF2B5EF4-FFF2-40B4-BE49-F238E27FC236}">
              <a16:creationId xmlns:a16="http://schemas.microsoft.com/office/drawing/2014/main" id="{00000000-0008-0000-0A00-000002000000}"/>
            </a:ext>
          </a:extLst>
        </xdr:cNvPr>
        <xdr:cNvSpPr/>
      </xdr:nvSpPr>
      <xdr:spPr>
        <a:xfrm>
          <a:off x="3276600" y="5105400"/>
          <a:ext cx="396240" cy="60198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tabSelected="1" zoomScale="70" zoomScaleNormal="70" zoomScaleSheetLayoutView="100" workbookViewId="0"/>
  </sheetViews>
  <sheetFormatPr defaultRowHeight="13.2" x14ac:dyDescent="0.25"/>
  <cols>
    <col min="1" max="1" width="133.33203125" customWidth="1"/>
    <col min="2" max="2" width="11.109375" customWidth="1"/>
    <col min="3" max="3" width="11.88671875" customWidth="1"/>
  </cols>
  <sheetData>
    <row r="1" spans="1:18" ht="18" thickBot="1" x14ac:dyDescent="0.3">
      <c r="A1" s="151" t="s">
        <v>257</v>
      </c>
      <c r="B1" s="152"/>
    </row>
    <row r="2" spans="1:18" ht="17.399999999999999" x14ac:dyDescent="0.25">
      <c r="A2" s="151" t="s">
        <v>258</v>
      </c>
      <c r="B2" s="153" t="s">
        <v>259</v>
      </c>
      <c r="C2" s="154"/>
      <c r="D2" s="154"/>
      <c r="E2" s="154"/>
      <c r="F2" s="154"/>
      <c r="G2" s="154"/>
      <c r="H2" s="154"/>
      <c r="I2" s="155"/>
      <c r="K2" s="249" t="s">
        <v>319</v>
      </c>
      <c r="L2" s="250"/>
      <c r="M2" s="250"/>
      <c r="N2" s="250"/>
      <c r="O2" s="250"/>
      <c r="P2" s="250"/>
      <c r="Q2" s="250"/>
      <c r="R2" s="251"/>
    </row>
    <row r="3" spans="1:18" ht="17.399999999999999" x14ac:dyDescent="0.25">
      <c r="A3" s="151" t="s">
        <v>260</v>
      </c>
      <c r="B3" s="156" t="s">
        <v>261</v>
      </c>
      <c r="C3" s="157"/>
      <c r="D3" s="157"/>
      <c r="E3" s="157"/>
      <c r="F3" s="157"/>
      <c r="G3" s="157"/>
      <c r="H3" s="157"/>
      <c r="I3" s="158"/>
      <c r="K3" s="252"/>
      <c r="L3" s="253"/>
      <c r="M3" s="253"/>
      <c r="N3" s="253"/>
      <c r="O3" s="253"/>
      <c r="P3" s="253"/>
      <c r="Q3" s="253"/>
      <c r="R3" s="254"/>
    </row>
    <row r="4" spans="1:18" ht="15" customHeight="1" x14ac:dyDescent="0.25">
      <c r="A4" s="159"/>
      <c r="B4" s="274" t="s">
        <v>316</v>
      </c>
      <c r="C4" s="275"/>
      <c r="D4" s="275"/>
      <c r="E4" s="275"/>
      <c r="F4" s="275"/>
      <c r="G4" s="275"/>
      <c r="H4" s="275"/>
      <c r="I4" s="276"/>
      <c r="K4" s="252"/>
      <c r="L4" s="253"/>
      <c r="M4" s="253"/>
      <c r="N4" s="253"/>
      <c r="O4" s="253"/>
      <c r="P4" s="253"/>
      <c r="Q4" s="253"/>
      <c r="R4" s="254"/>
    </row>
    <row r="5" spans="1:18" ht="18" thickBot="1" x14ac:dyDescent="0.3">
      <c r="A5" s="160" t="s">
        <v>262</v>
      </c>
      <c r="B5" s="277"/>
      <c r="C5" s="278"/>
      <c r="D5" s="278"/>
      <c r="E5" s="278"/>
      <c r="F5" s="278"/>
      <c r="G5" s="278"/>
      <c r="H5" s="278"/>
      <c r="I5" s="279"/>
      <c r="K5" s="252"/>
      <c r="L5" s="253"/>
      <c r="M5" s="253"/>
      <c r="N5" s="253"/>
      <c r="O5" s="253"/>
      <c r="P5" s="253"/>
      <c r="Q5" s="253"/>
      <c r="R5" s="254"/>
    </row>
    <row r="6" spans="1:18" ht="21.6" thickBot="1" x14ac:dyDescent="0.45">
      <c r="A6" s="160" t="s">
        <v>263</v>
      </c>
      <c r="B6" s="161"/>
      <c r="K6" s="196" t="s">
        <v>288</v>
      </c>
      <c r="L6" s="197"/>
      <c r="M6" s="197"/>
      <c r="N6" s="197"/>
      <c r="O6" s="197"/>
      <c r="P6" s="197"/>
      <c r="Q6" s="197"/>
      <c r="R6" s="198"/>
    </row>
    <row r="7" spans="1:18" ht="22.2" thickTop="1" thickBot="1" x14ac:dyDescent="0.45">
      <c r="A7" s="241" t="s">
        <v>314</v>
      </c>
      <c r="B7" s="161"/>
      <c r="E7" s="162" t="s">
        <v>264</v>
      </c>
      <c r="K7" s="196" t="s">
        <v>290</v>
      </c>
      <c r="L7" s="197"/>
      <c r="M7" s="197"/>
      <c r="N7" s="197"/>
      <c r="O7" s="197"/>
      <c r="P7" s="197"/>
      <c r="Q7" s="197"/>
      <c r="R7" s="198"/>
    </row>
    <row r="8" spans="1:18" ht="22.2" thickTop="1" thickBot="1" x14ac:dyDescent="0.45">
      <c r="A8" s="163"/>
      <c r="B8" s="161"/>
      <c r="E8" s="162" t="s">
        <v>265</v>
      </c>
      <c r="K8" s="199" t="s">
        <v>289</v>
      </c>
      <c r="L8" s="200"/>
      <c r="M8" s="200"/>
      <c r="N8" s="200"/>
      <c r="O8" s="200"/>
      <c r="P8" s="200"/>
      <c r="Q8" s="200"/>
      <c r="R8" s="201"/>
    </row>
    <row r="9" spans="1:18" ht="19.2" thickTop="1" thickBot="1" x14ac:dyDescent="0.4">
      <c r="A9" s="241" t="s">
        <v>266</v>
      </c>
      <c r="B9" s="164"/>
      <c r="E9" s="162" t="s">
        <v>267</v>
      </c>
    </row>
    <row r="10" spans="1:18" ht="18.600000000000001" thickTop="1" x14ac:dyDescent="0.35">
      <c r="A10" s="245" t="s">
        <v>320</v>
      </c>
      <c r="B10" s="164"/>
      <c r="E10" s="162" t="s">
        <v>268</v>
      </c>
    </row>
    <row r="11" spans="1:18" ht="18.600000000000001" thickBot="1" x14ac:dyDescent="0.4">
      <c r="A11" s="166"/>
      <c r="B11" s="164"/>
      <c r="E11" s="162"/>
    </row>
    <row r="12" spans="1:18" ht="70.2" thickBot="1" x14ac:dyDescent="0.3">
      <c r="A12" s="167" t="s">
        <v>269</v>
      </c>
      <c r="B12" s="255" t="s">
        <v>315</v>
      </c>
      <c r="C12" s="256"/>
      <c r="D12" s="256"/>
      <c r="E12" s="256"/>
      <c r="F12" s="256"/>
      <c r="G12" s="256"/>
      <c r="H12" s="256"/>
      <c r="I12" s="257"/>
    </row>
    <row r="13" spans="1:18" ht="19.2" thickTop="1" thickBot="1" x14ac:dyDescent="0.4">
      <c r="A13" s="241" t="s">
        <v>270</v>
      </c>
      <c r="B13" s="164"/>
    </row>
    <row r="14" spans="1:18" ht="19.2" thickTop="1" thickBot="1" x14ac:dyDescent="0.4">
      <c r="A14" s="161" t="s">
        <v>271</v>
      </c>
      <c r="B14" s="164"/>
    </row>
    <row r="15" spans="1:18" ht="26.4" thickBot="1" x14ac:dyDescent="0.3">
      <c r="A15" s="165" t="s">
        <v>272</v>
      </c>
      <c r="B15" s="255" t="s">
        <v>317</v>
      </c>
      <c r="C15" s="256"/>
      <c r="D15" s="256"/>
      <c r="E15" s="256"/>
      <c r="F15" s="256"/>
      <c r="G15" s="256"/>
      <c r="H15" s="256"/>
      <c r="I15" s="257"/>
    </row>
    <row r="16" spans="1:18" ht="26.4" thickBot="1" x14ac:dyDescent="0.3">
      <c r="A16" s="165" t="s">
        <v>273</v>
      </c>
      <c r="B16" s="255" t="s">
        <v>318</v>
      </c>
      <c r="C16" s="256"/>
      <c r="D16" s="256"/>
      <c r="E16" s="256"/>
      <c r="F16" s="256"/>
      <c r="G16" s="256"/>
      <c r="H16" s="256"/>
      <c r="I16" s="257"/>
    </row>
    <row r="17" spans="1:18" ht="16.2" thickBot="1" x14ac:dyDescent="0.4">
      <c r="A17" s="168" t="s">
        <v>274</v>
      </c>
      <c r="B17" s="169"/>
      <c r="C17" s="170"/>
      <c r="D17" s="170"/>
    </row>
    <row r="18" spans="1:18" ht="15.6" x14ac:dyDescent="0.35">
      <c r="A18" s="171" t="s">
        <v>313</v>
      </c>
      <c r="B18" s="169"/>
      <c r="C18" s="170"/>
      <c r="D18" s="170"/>
      <c r="I18" s="258" t="s">
        <v>277</v>
      </c>
      <c r="J18" s="259"/>
      <c r="K18" s="259"/>
      <c r="L18" s="259"/>
      <c r="M18" s="259"/>
      <c r="N18" s="259"/>
      <c r="O18" s="264">
        <f>B26</f>
        <v>0</v>
      </c>
      <c r="P18" s="265"/>
      <c r="Q18" s="265"/>
      <c r="R18" s="266"/>
    </row>
    <row r="19" spans="1:18" ht="15.6" x14ac:dyDescent="0.35">
      <c r="A19" s="171" t="s">
        <v>275</v>
      </c>
      <c r="B19" s="169"/>
      <c r="C19" s="170"/>
      <c r="D19" s="170"/>
      <c r="I19" s="260"/>
      <c r="J19" s="261"/>
      <c r="K19" s="261"/>
      <c r="L19" s="261"/>
      <c r="M19" s="261"/>
      <c r="N19" s="261"/>
      <c r="O19" s="267"/>
      <c r="P19" s="267"/>
      <c r="Q19" s="267"/>
      <c r="R19" s="268"/>
    </row>
    <row r="20" spans="1:18" ht="15.6" x14ac:dyDescent="0.35">
      <c r="A20" s="172" t="s">
        <v>276</v>
      </c>
      <c r="B20" s="169"/>
      <c r="C20" s="170"/>
      <c r="D20" s="170"/>
      <c r="I20" s="260"/>
      <c r="J20" s="261"/>
      <c r="K20" s="261"/>
      <c r="L20" s="261"/>
      <c r="M20" s="261"/>
      <c r="N20" s="261"/>
      <c r="O20" s="267"/>
      <c r="P20" s="267"/>
      <c r="Q20" s="267"/>
      <c r="R20" s="268"/>
    </row>
    <row r="21" spans="1:18" ht="16.2" thickBot="1" x14ac:dyDescent="0.4">
      <c r="A21" s="173" t="s">
        <v>278</v>
      </c>
      <c r="B21" s="169"/>
      <c r="C21" s="170"/>
      <c r="D21" s="170"/>
      <c r="I21" s="260"/>
      <c r="J21" s="261"/>
      <c r="K21" s="261"/>
      <c r="L21" s="261"/>
      <c r="M21" s="261"/>
      <c r="N21" s="261"/>
      <c r="O21" s="267"/>
      <c r="P21" s="267"/>
      <c r="Q21" s="267"/>
      <c r="R21" s="268"/>
    </row>
    <row r="22" spans="1:18" ht="16.2" thickBot="1" x14ac:dyDescent="0.4">
      <c r="A22" s="169"/>
      <c r="B22" s="169"/>
      <c r="C22" s="170"/>
      <c r="D22" s="170"/>
      <c r="I22" s="260"/>
      <c r="J22" s="261"/>
      <c r="K22" s="261"/>
      <c r="L22" s="261"/>
      <c r="M22" s="261"/>
      <c r="N22" s="261"/>
      <c r="O22" s="267"/>
      <c r="P22" s="267"/>
      <c r="Q22" s="267"/>
      <c r="R22" s="268"/>
    </row>
    <row r="23" spans="1:18" ht="24" thickTop="1" thickBot="1" x14ac:dyDescent="0.3">
      <c r="A23" s="271" t="s">
        <v>279</v>
      </c>
      <c r="B23" s="272"/>
      <c r="C23" s="272"/>
      <c r="D23" s="273"/>
      <c r="I23" s="262"/>
      <c r="J23" s="263"/>
      <c r="K23" s="263"/>
      <c r="L23" s="263"/>
      <c r="M23" s="263"/>
      <c r="N23" s="263"/>
      <c r="O23" s="269"/>
      <c r="P23" s="269"/>
      <c r="Q23" s="269"/>
      <c r="R23" s="270"/>
    </row>
    <row r="24" spans="1:18" ht="18" hidden="1" x14ac:dyDescent="0.35">
      <c r="A24" s="202" t="s">
        <v>280</v>
      </c>
      <c r="B24" s="205"/>
      <c r="C24" s="206">
        <f>D31</f>
        <v>0</v>
      </c>
      <c r="D24" s="208"/>
    </row>
    <row r="25" spans="1:18" ht="18.600000000000001" hidden="1" thickBot="1" x14ac:dyDescent="0.4">
      <c r="A25" s="202"/>
      <c r="B25" s="203"/>
      <c r="C25" s="204"/>
      <c r="D25" s="208"/>
    </row>
    <row r="26" spans="1:18" ht="18.600000000000001" hidden="1" thickBot="1" x14ac:dyDescent="0.4">
      <c r="A26" s="207" t="s">
        <v>281</v>
      </c>
      <c r="B26" s="247">
        <f>SUM(C24:C25)</f>
        <v>0</v>
      </c>
      <c r="C26" s="248"/>
      <c r="D26" s="208"/>
    </row>
    <row r="27" spans="1:18" ht="14.4" hidden="1" thickBot="1" x14ac:dyDescent="0.3">
      <c r="A27" s="211"/>
      <c r="B27" s="212"/>
      <c r="C27" s="212"/>
      <c r="D27" s="208"/>
    </row>
    <row r="28" spans="1:18" ht="15.6" x14ac:dyDescent="0.3">
      <c r="A28" s="174" t="s">
        <v>282</v>
      </c>
      <c r="B28" s="194">
        <f>'1-Short-Term'!W2+'2-Long-Term'!V2+'3-Profitability'!V2+'4-DuPont Analysis'!V2+'5-Stock'!V2</f>
        <v>167</v>
      </c>
      <c r="C28" s="209"/>
      <c r="D28" s="210"/>
    </row>
    <row r="29" spans="1:18" ht="16.2" thickBot="1" x14ac:dyDescent="0.35">
      <c r="A29" s="175" t="s">
        <v>283</v>
      </c>
      <c r="B29" s="195">
        <f>B30-B28</f>
        <v>0</v>
      </c>
      <c r="C29" s="209"/>
      <c r="D29" s="210"/>
    </row>
    <row r="30" spans="1:18" ht="16.2" thickBot="1" x14ac:dyDescent="0.35">
      <c r="A30" s="175" t="s">
        <v>284</v>
      </c>
      <c r="B30" s="176">
        <f>'1-Short-Term'!W4+'2-Long-Term'!V4+'3-Profitability'!V4+'4-DuPont Analysis'!V4+'5-Stock'!V4</f>
        <v>167</v>
      </c>
      <c r="C30" s="209"/>
      <c r="D30" s="210"/>
    </row>
    <row r="31" spans="1:18" ht="16.2" thickBot="1" x14ac:dyDescent="0.35">
      <c r="A31" s="177" t="s">
        <v>285</v>
      </c>
      <c r="B31" s="181">
        <f>(B29/B30)*100</f>
        <v>0</v>
      </c>
      <c r="C31" s="182" t="s">
        <v>286</v>
      </c>
      <c r="D31" s="246">
        <f>B31*1</f>
        <v>0</v>
      </c>
    </row>
    <row r="32" spans="1:18" ht="13.8" thickBot="1" x14ac:dyDescent="0.3">
      <c r="A32" s="178"/>
      <c r="B32" s="179"/>
      <c r="C32" s="179"/>
      <c r="D32" s="180"/>
    </row>
    <row r="33" ht="13.8" thickTop="1" x14ac:dyDescent="0.25"/>
  </sheetData>
  <sheetProtection algorithmName="SHA-512" hashValue="tbmL41kNfuSC6/TiZTiC6PAaSCK/Eyny5sGkrEXrZW4ZzVSVvz5mZpBCEJuD4jEjWj4GWrpHUiXymsNRqfKxMA==" saltValue="GUZFH2ZzG90+SJVPy0RHSw==" spinCount="100000" sheet="1" objects="1" scenarios="1"/>
  <mergeCells count="9">
    <mergeCell ref="B26:C26"/>
    <mergeCell ref="K2:R5"/>
    <mergeCell ref="B12:I12"/>
    <mergeCell ref="B15:I15"/>
    <mergeCell ref="B16:I16"/>
    <mergeCell ref="I18:N23"/>
    <mergeCell ref="O18:R23"/>
    <mergeCell ref="A23:D23"/>
    <mergeCell ref="B4:I5"/>
  </mergeCells>
  <printOptions horizontalCentered="1" verticalCentered="1"/>
  <pageMargins left="0.7" right="0.7" top="0.75" bottom="0.75" header="0.3" footer="0.3"/>
  <pageSetup scale="43" orientation="landscape"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29"/>
  <sheetViews>
    <sheetView zoomScaleNormal="100" zoomScaleSheetLayoutView="100" workbookViewId="0">
      <selection activeCell="A7" sqref="A7"/>
    </sheetView>
  </sheetViews>
  <sheetFormatPr defaultColWidth="8.77734375" defaultRowHeight="13.2" x14ac:dyDescent="0.25"/>
  <cols>
    <col min="1" max="1" width="33.6640625" bestFit="1" customWidth="1"/>
    <col min="2" max="2" width="11.33203125" bestFit="1" customWidth="1"/>
    <col min="3" max="4" width="11" bestFit="1" customWidth="1"/>
    <col min="5" max="5" width="10.109375" bestFit="1" customWidth="1"/>
    <col min="15" max="15" width="11.44140625" customWidth="1"/>
  </cols>
  <sheetData>
    <row r="1" spans="1:22" ht="30" x14ac:dyDescent="0.5">
      <c r="A1" s="20" t="s">
        <v>255</v>
      </c>
      <c r="B1" s="2"/>
      <c r="C1" s="2"/>
      <c r="D1" s="2"/>
      <c r="E1" s="2"/>
      <c r="F1" s="2"/>
      <c r="G1" s="2"/>
      <c r="H1" s="2"/>
      <c r="I1" s="2"/>
      <c r="J1" s="2"/>
      <c r="K1" s="2"/>
      <c r="L1" s="2"/>
      <c r="M1" s="2"/>
      <c r="N1" s="2"/>
      <c r="O1" s="2"/>
      <c r="P1" s="2"/>
      <c r="R1" s="183" t="s">
        <v>287</v>
      </c>
      <c r="S1" s="184"/>
      <c r="T1" s="184"/>
      <c r="U1" s="184"/>
      <c r="V1" s="185">
        <v>0</v>
      </c>
    </row>
    <row r="2" spans="1:22" ht="17.399999999999999" x14ac:dyDescent="0.3">
      <c r="A2" s="10" t="s">
        <v>121</v>
      </c>
      <c r="B2" s="2"/>
      <c r="C2" s="2"/>
      <c r="D2" s="2"/>
      <c r="E2" s="2"/>
      <c r="F2" s="2"/>
      <c r="G2" s="2"/>
      <c r="H2" s="2"/>
      <c r="I2" s="2"/>
      <c r="J2" s="2"/>
      <c r="K2" s="2"/>
      <c r="L2" s="2"/>
      <c r="M2" s="2"/>
      <c r="N2" s="2"/>
      <c r="O2" s="2"/>
      <c r="P2" s="2"/>
      <c r="R2" s="186" t="s">
        <v>310</v>
      </c>
      <c r="S2" s="187"/>
      <c r="T2" s="187"/>
      <c r="U2" s="187"/>
      <c r="V2" s="188">
        <f>V4-V1</f>
        <v>12</v>
      </c>
    </row>
    <row r="3" spans="1:22" ht="18" thickBot="1" x14ac:dyDescent="0.35">
      <c r="A3" s="6" t="s">
        <v>87</v>
      </c>
      <c r="B3" s="3">
        <f>'1-Hist'!B5</f>
        <v>42855</v>
      </c>
      <c r="C3" s="3">
        <f>'1-Hist'!D5</f>
        <v>42490</v>
      </c>
      <c r="D3" s="3">
        <f>'1-Hist'!F5</f>
        <v>42124</v>
      </c>
      <c r="E3" s="3"/>
      <c r="F3" s="2"/>
      <c r="G3" s="2"/>
      <c r="H3" s="2"/>
      <c r="I3" s="2"/>
      <c r="J3" s="2"/>
      <c r="K3" s="2"/>
      <c r="L3" s="2"/>
      <c r="M3" s="2"/>
      <c r="N3" s="2"/>
      <c r="O3" s="2"/>
      <c r="P3" s="2"/>
      <c r="R3" s="189"/>
      <c r="S3" s="187"/>
      <c r="T3" s="187"/>
      <c r="U3" s="187"/>
      <c r="V3" s="190"/>
    </row>
    <row r="4" spans="1:22" ht="18.600000000000001" thickTop="1" thickBot="1" x14ac:dyDescent="0.35">
      <c r="A4" s="15" t="s">
        <v>109</v>
      </c>
      <c r="B4" s="240"/>
      <c r="C4" s="240"/>
      <c r="D4" s="240"/>
      <c r="E4" s="8"/>
      <c r="F4" s="2"/>
      <c r="G4" s="2"/>
      <c r="H4" s="2"/>
      <c r="I4" s="2"/>
      <c r="J4" s="2"/>
      <c r="K4" s="2"/>
      <c r="L4" s="2"/>
      <c r="M4" s="2"/>
      <c r="N4" s="2"/>
      <c r="O4" s="2"/>
      <c r="P4" s="2"/>
      <c r="R4" s="191" t="s">
        <v>303</v>
      </c>
      <c r="S4" s="192"/>
      <c r="T4" s="192"/>
      <c r="U4" s="192"/>
      <c r="V4" s="193">
        <v>12</v>
      </c>
    </row>
    <row r="5" spans="1:22" ht="15" thickTop="1" thickBot="1" x14ac:dyDescent="0.3">
      <c r="A5" s="15"/>
      <c r="B5" s="147"/>
      <c r="C5" s="147"/>
      <c r="D5" s="147"/>
      <c r="E5" s="5"/>
      <c r="F5" s="2"/>
      <c r="G5" s="11" t="s">
        <v>126</v>
      </c>
      <c r="H5" s="2"/>
      <c r="I5" s="2"/>
      <c r="J5" s="2"/>
      <c r="K5" s="2"/>
      <c r="L5" s="2"/>
      <c r="M5" s="2"/>
      <c r="N5" s="2"/>
      <c r="O5" s="2"/>
      <c r="P5" s="2"/>
    </row>
    <row r="6" spans="1:22" ht="15" thickTop="1" thickBot="1" x14ac:dyDescent="0.3">
      <c r="A6" s="15" t="s">
        <v>110</v>
      </c>
      <c r="B6" s="144"/>
      <c r="C6" s="144"/>
      <c r="D6" s="144"/>
      <c r="E6" s="8"/>
      <c r="F6" s="2"/>
      <c r="G6" s="11" t="s">
        <v>128</v>
      </c>
      <c r="H6" s="2"/>
      <c r="I6" s="2"/>
      <c r="J6" s="2"/>
      <c r="K6" s="2"/>
      <c r="L6" s="2"/>
      <c r="M6" s="2"/>
      <c r="N6" s="2"/>
      <c r="O6" s="2"/>
      <c r="P6" s="2"/>
    </row>
    <row r="7" spans="1:22" ht="15" thickTop="1" thickBot="1" x14ac:dyDescent="0.3">
      <c r="A7" s="15" t="s">
        <v>98</v>
      </c>
      <c r="B7" s="142"/>
      <c r="C7" s="142"/>
      <c r="D7" s="142"/>
      <c r="E7" s="8"/>
      <c r="F7" s="2"/>
      <c r="G7" s="2"/>
      <c r="H7" s="2"/>
      <c r="I7" s="2"/>
      <c r="J7" s="2"/>
      <c r="K7" s="2"/>
      <c r="L7" s="2"/>
      <c r="M7" s="2"/>
      <c r="N7" s="2"/>
      <c r="O7" s="2"/>
      <c r="P7" s="2"/>
    </row>
    <row r="8" spans="1:22" ht="15" thickTop="1" thickBot="1" x14ac:dyDescent="0.3">
      <c r="A8" s="16" t="s">
        <v>111</v>
      </c>
      <c r="B8" s="240"/>
      <c r="C8" s="240"/>
      <c r="D8" s="240"/>
      <c r="E8" s="8"/>
      <c r="F8" s="2"/>
      <c r="G8" s="2"/>
      <c r="I8" s="2"/>
      <c r="J8" s="2"/>
      <c r="K8" s="2"/>
      <c r="L8" s="2"/>
      <c r="M8" s="2"/>
      <c r="N8" s="2"/>
      <c r="O8" s="2"/>
      <c r="P8" s="2"/>
    </row>
    <row r="9" spans="1:22" ht="15" thickTop="1" thickBot="1" x14ac:dyDescent="0.3">
      <c r="A9" s="2"/>
      <c r="B9" s="2"/>
      <c r="C9" s="2"/>
      <c r="D9" s="2"/>
      <c r="E9" s="2"/>
      <c r="F9" s="2"/>
      <c r="G9" s="2"/>
      <c r="H9" s="2"/>
      <c r="I9" s="2"/>
      <c r="J9" s="2"/>
      <c r="K9" s="2"/>
      <c r="L9" s="2"/>
      <c r="M9" s="2"/>
      <c r="N9" s="2"/>
      <c r="O9" s="2"/>
      <c r="P9" s="2"/>
    </row>
    <row r="10" spans="1:22" ht="14.4" thickBot="1" x14ac:dyDescent="0.3">
      <c r="A10" s="233" t="s">
        <v>304</v>
      </c>
      <c r="B10" s="227"/>
      <c r="C10" s="227"/>
      <c r="D10" s="227"/>
      <c r="E10" s="227"/>
      <c r="F10" s="227"/>
      <c r="G10" s="227"/>
      <c r="H10" s="227"/>
      <c r="I10" s="227"/>
      <c r="J10" s="227"/>
      <c r="K10" s="227"/>
      <c r="L10" s="227"/>
      <c r="M10" s="227"/>
      <c r="N10" s="227"/>
      <c r="O10" s="234"/>
      <c r="P10" s="2"/>
    </row>
    <row r="11" spans="1:22" ht="13.8" x14ac:dyDescent="0.25">
      <c r="A11" s="2"/>
      <c r="B11" s="2"/>
      <c r="C11" s="2"/>
      <c r="D11" s="2"/>
      <c r="E11" s="2"/>
      <c r="F11" s="2"/>
      <c r="G11" s="2"/>
      <c r="H11" s="2"/>
      <c r="I11" s="2"/>
      <c r="J11" s="2"/>
      <c r="K11" s="2"/>
      <c r="L11" s="2"/>
      <c r="M11" s="2"/>
      <c r="N11" s="2"/>
      <c r="O11" s="2"/>
      <c r="P11" s="2"/>
    </row>
    <row r="12" spans="1:22" ht="17.399999999999999" x14ac:dyDescent="0.3">
      <c r="A12" s="10"/>
      <c r="B12" s="2"/>
      <c r="C12" s="2"/>
      <c r="D12" s="2"/>
      <c r="E12" s="2"/>
      <c r="F12" s="2"/>
      <c r="G12" s="2"/>
      <c r="H12" s="2"/>
      <c r="I12" s="2"/>
      <c r="J12" s="2"/>
      <c r="K12" s="2"/>
      <c r="L12" s="2"/>
      <c r="M12" s="2"/>
      <c r="N12" s="2"/>
      <c r="O12" s="2"/>
      <c r="P12" s="2"/>
    </row>
    <row r="13" spans="1:22" ht="13.8" x14ac:dyDescent="0.25">
      <c r="A13" s="2"/>
      <c r="B13" s="2"/>
      <c r="C13" s="2"/>
      <c r="D13" s="2"/>
      <c r="E13" s="2"/>
      <c r="F13" s="2"/>
      <c r="G13" s="2"/>
      <c r="H13" s="2"/>
      <c r="I13" s="2"/>
      <c r="J13" s="2"/>
      <c r="K13" s="2"/>
      <c r="L13" s="2"/>
      <c r="M13" s="2"/>
      <c r="N13" s="2"/>
      <c r="O13" s="2"/>
      <c r="P13" s="2"/>
    </row>
    <row r="14" spans="1:22" ht="13.8" x14ac:dyDescent="0.25">
      <c r="A14" s="2"/>
      <c r="B14" s="2"/>
      <c r="C14" s="2"/>
      <c r="D14" s="2"/>
      <c r="E14" s="2"/>
      <c r="F14" s="2"/>
      <c r="G14" s="2"/>
      <c r="H14" s="2"/>
      <c r="I14" s="2"/>
      <c r="J14" s="2"/>
      <c r="K14" s="2"/>
      <c r="L14" s="2"/>
      <c r="M14" s="2"/>
      <c r="N14" s="2"/>
      <c r="O14" s="2"/>
      <c r="P14" s="2"/>
    </row>
    <row r="15" spans="1:22" ht="13.8" x14ac:dyDescent="0.25">
      <c r="A15" s="2"/>
      <c r="B15" s="2"/>
      <c r="C15" s="2"/>
      <c r="D15" s="2"/>
      <c r="E15" s="2"/>
      <c r="F15" s="2"/>
      <c r="G15" s="2"/>
      <c r="H15" s="2"/>
      <c r="I15" s="2"/>
      <c r="J15" s="2"/>
      <c r="K15" s="2"/>
      <c r="L15" s="2"/>
      <c r="M15" s="2"/>
      <c r="N15" s="2"/>
      <c r="O15" s="2"/>
      <c r="P15" s="2"/>
    </row>
    <row r="16" spans="1:22" ht="13.8" x14ac:dyDescent="0.25">
      <c r="A16" s="2"/>
      <c r="B16" s="2"/>
      <c r="C16" s="2"/>
      <c r="D16" s="2"/>
      <c r="E16" s="2"/>
      <c r="F16" s="2"/>
      <c r="G16" s="2"/>
      <c r="H16" s="2"/>
      <c r="I16" s="2"/>
      <c r="J16" s="2"/>
      <c r="K16" s="2"/>
      <c r="L16" s="2"/>
      <c r="M16" s="2"/>
      <c r="N16" s="2"/>
      <c r="O16" s="2"/>
      <c r="P16" s="2"/>
    </row>
    <row r="17" spans="1:16" ht="13.8" x14ac:dyDescent="0.25">
      <c r="A17" s="2"/>
      <c r="B17" s="2"/>
      <c r="C17" s="2"/>
      <c r="D17" s="2"/>
      <c r="E17" s="2"/>
      <c r="F17" s="2"/>
      <c r="G17" s="2"/>
      <c r="H17" s="2"/>
      <c r="I17" s="2"/>
      <c r="J17" s="2"/>
      <c r="K17" s="2"/>
      <c r="L17" s="2"/>
      <c r="M17" s="2"/>
      <c r="N17" s="2"/>
      <c r="O17" s="2"/>
      <c r="P17" s="2"/>
    </row>
    <row r="18" spans="1:16" ht="13.8" x14ac:dyDescent="0.25">
      <c r="A18" s="2"/>
      <c r="B18" s="2"/>
      <c r="C18" s="2"/>
      <c r="D18" s="2"/>
      <c r="E18" s="2"/>
      <c r="F18" s="2"/>
      <c r="G18" s="2"/>
      <c r="H18" s="2"/>
      <c r="I18" s="2"/>
      <c r="J18" s="2"/>
      <c r="K18" s="2"/>
      <c r="L18" s="2"/>
      <c r="M18" s="2"/>
      <c r="N18" s="2"/>
      <c r="O18" s="2"/>
      <c r="P18" s="2"/>
    </row>
    <row r="19" spans="1:16" ht="13.8" x14ac:dyDescent="0.25">
      <c r="A19" s="2"/>
      <c r="B19" s="2"/>
      <c r="C19" s="2"/>
      <c r="D19" s="2"/>
      <c r="E19" s="2"/>
      <c r="F19" s="2"/>
      <c r="G19" s="2"/>
      <c r="H19" s="2"/>
      <c r="I19" s="2"/>
      <c r="J19" s="2"/>
      <c r="K19" s="2"/>
      <c r="L19" s="2"/>
      <c r="M19" s="2"/>
      <c r="N19" s="2"/>
      <c r="O19" s="2"/>
      <c r="P19" s="2"/>
    </row>
    <row r="20" spans="1:16" ht="13.8" x14ac:dyDescent="0.25">
      <c r="A20" s="2"/>
      <c r="B20" s="2"/>
      <c r="C20" s="2"/>
      <c r="D20" s="2"/>
      <c r="E20" s="2"/>
      <c r="F20" s="2"/>
      <c r="G20" s="2"/>
      <c r="H20" s="2"/>
      <c r="I20" s="2"/>
      <c r="J20" s="2"/>
      <c r="K20" s="2"/>
      <c r="L20" s="2"/>
      <c r="M20" s="2"/>
      <c r="N20" s="2"/>
      <c r="O20" s="2"/>
      <c r="P20" s="2"/>
    </row>
    <row r="21" spans="1:16" ht="13.8" x14ac:dyDescent="0.25">
      <c r="A21" s="2"/>
      <c r="B21" s="2"/>
      <c r="C21" s="2"/>
      <c r="D21" s="2"/>
      <c r="E21" s="2"/>
      <c r="F21" s="2"/>
      <c r="G21" s="2"/>
      <c r="H21" s="2"/>
      <c r="I21" s="2"/>
      <c r="J21" s="2"/>
      <c r="K21" s="2"/>
      <c r="L21" s="2"/>
      <c r="M21" s="2"/>
      <c r="N21" s="2"/>
      <c r="O21" s="2"/>
      <c r="P21" s="2"/>
    </row>
    <row r="22" spans="1:16" ht="13.8" x14ac:dyDescent="0.25">
      <c r="A22" s="2"/>
      <c r="B22" s="2"/>
      <c r="C22" s="2"/>
      <c r="D22" s="2"/>
      <c r="E22" s="2"/>
      <c r="F22" s="2"/>
      <c r="G22" s="2"/>
      <c r="H22" s="2"/>
      <c r="I22" s="2"/>
      <c r="J22" s="2"/>
      <c r="K22" s="2"/>
      <c r="L22" s="2"/>
      <c r="M22" s="2"/>
      <c r="N22" s="2"/>
      <c r="O22" s="2"/>
      <c r="P22" s="2"/>
    </row>
    <row r="23" spans="1:16" ht="13.8" x14ac:dyDescent="0.25">
      <c r="A23" s="2"/>
      <c r="B23" s="2"/>
      <c r="C23" s="2"/>
      <c r="D23" s="2"/>
      <c r="E23" s="2"/>
      <c r="F23" s="2"/>
      <c r="G23" s="2"/>
      <c r="H23" s="2"/>
      <c r="I23" s="2"/>
      <c r="J23" s="2"/>
      <c r="K23" s="2"/>
      <c r="L23" s="2"/>
      <c r="M23" s="2"/>
      <c r="N23" s="2"/>
      <c r="O23" s="2"/>
      <c r="P23" s="2"/>
    </row>
    <row r="24" spans="1:16" ht="13.8" x14ac:dyDescent="0.25">
      <c r="A24" s="2"/>
      <c r="B24" s="2"/>
      <c r="C24" s="2"/>
      <c r="D24" s="2"/>
      <c r="E24" s="2"/>
      <c r="F24" s="2"/>
      <c r="G24" s="2"/>
      <c r="H24" s="2"/>
      <c r="I24" s="2"/>
      <c r="J24" s="2"/>
      <c r="K24" s="2"/>
      <c r="L24" s="2"/>
      <c r="M24" s="2"/>
      <c r="N24" s="2"/>
      <c r="O24" s="2"/>
      <c r="P24" s="2"/>
    </row>
    <row r="25" spans="1:16" ht="13.8" x14ac:dyDescent="0.25">
      <c r="A25" s="2"/>
      <c r="B25" s="2"/>
      <c r="C25" s="2"/>
      <c r="D25" s="2"/>
      <c r="E25" s="2"/>
      <c r="F25" s="2"/>
      <c r="G25" s="2"/>
      <c r="H25" s="2"/>
      <c r="I25" s="2"/>
      <c r="J25" s="2"/>
      <c r="K25" s="2"/>
      <c r="L25" s="2"/>
      <c r="M25" s="2"/>
      <c r="N25" s="2"/>
      <c r="O25" s="2"/>
      <c r="P25" s="2"/>
    </row>
    <row r="26" spans="1:16" ht="13.8" x14ac:dyDescent="0.25">
      <c r="A26" s="2"/>
      <c r="B26" s="2"/>
      <c r="C26" s="2"/>
      <c r="D26" s="2"/>
      <c r="E26" s="2"/>
      <c r="F26" s="2"/>
      <c r="G26" s="2"/>
      <c r="H26" s="2"/>
      <c r="I26" s="2"/>
      <c r="J26" s="2"/>
      <c r="K26" s="2"/>
      <c r="L26" s="2"/>
      <c r="M26" s="2"/>
      <c r="N26" s="2"/>
      <c r="O26" s="2"/>
      <c r="P26" s="2"/>
    </row>
    <row r="27" spans="1:16" ht="13.8" x14ac:dyDescent="0.25">
      <c r="A27" s="2"/>
      <c r="B27" s="2"/>
      <c r="C27" s="2"/>
      <c r="D27" s="2"/>
      <c r="E27" s="2"/>
      <c r="F27" s="2"/>
      <c r="G27" s="2"/>
      <c r="H27" s="2"/>
      <c r="I27" s="2"/>
      <c r="J27" s="2"/>
      <c r="K27" s="2"/>
      <c r="L27" s="2"/>
      <c r="M27" s="2"/>
      <c r="N27" s="2"/>
      <c r="O27" s="2"/>
      <c r="P27" s="2"/>
    </row>
    <row r="28" spans="1:16" ht="13.8" x14ac:dyDescent="0.25">
      <c r="A28" s="2"/>
      <c r="B28" s="2"/>
      <c r="C28" s="2"/>
      <c r="D28" s="2"/>
      <c r="E28" s="2"/>
      <c r="F28" s="2"/>
      <c r="G28" s="2"/>
      <c r="H28" s="2"/>
      <c r="I28" s="2"/>
      <c r="J28" s="2"/>
      <c r="K28" s="2"/>
      <c r="L28" s="2"/>
      <c r="M28" s="2"/>
      <c r="N28" s="2"/>
      <c r="O28" s="2"/>
      <c r="P28" s="2"/>
    </row>
    <row r="29" spans="1:16" ht="13.8" x14ac:dyDescent="0.25">
      <c r="A29" s="2"/>
      <c r="B29" s="2"/>
      <c r="C29" s="2"/>
      <c r="D29" s="2"/>
      <c r="E29" s="2"/>
      <c r="F29" s="2"/>
      <c r="G29" s="2"/>
      <c r="H29" s="2"/>
      <c r="I29" s="2"/>
      <c r="J29" s="2"/>
      <c r="K29" s="2"/>
      <c r="L29" s="2"/>
      <c r="M29" s="2"/>
      <c r="N29" s="2"/>
      <c r="O29" s="2"/>
      <c r="P29" s="2"/>
    </row>
  </sheetData>
  <printOptions horizontalCentered="1" verticalCentered="1" gridLines="1"/>
  <pageMargins left="0.7" right="0.7" top="0.75" bottom="0.75" header="0.3" footer="0.3"/>
  <pageSetup scale="75" orientation="landscape" r:id="rId1"/>
  <colBreaks count="1" manualBreakCount="1">
    <brk id="16" max="9" man="1"/>
  </colBreaks>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37"/>
  <sheetViews>
    <sheetView view="pageBreakPreview" zoomScaleNormal="100" zoomScaleSheetLayoutView="100" workbookViewId="0">
      <selection activeCell="A19" sqref="A19"/>
    </sheetView>
  </sheetViews>
  <sheetFormatPr defaultColWidth="8.77734375" defaultRowHeight="13.2" x14ac:dyDescent="0.25"/>
  <cols>
    <col min="1" max="1" width="43.5546875" bestFit="1" customWidth="1"/>
    <col min="2" max="2" width="11.33203125" bestFit="1" customWidth="1"/>
    <col min="3" max="5" width="11" bestFit="1" customWidth="1"/>
    <col min="6" max="6" width="11.109375" customWidth="1"/>
  </cols>
  <sheetData>
    <row r="1" spans="1:22" ht="30" x14ac:dyDescent="0.5">
      <c r="A1" s="20" t="s">
        <v>256</v>
      </c>
      <c r="B1" s="2"/>
      <c r="C1" s="2"/>
      <c r="D1" s="2"/>
      <c r="E1" s="2"/>
      <c r="F1" s="2"/>
      <c r="G1" s="2"/>
      <c r="H1" s="2"/>
      <c r="I1" s="2"/>
      <c r="J1" s="2"/>
      <c r="K1" s="2"/>
      <c r="L1" s="2"/>
      <c r="M1" s="2"/>
      <c r="N1" s="2"/>
      <c r="O1" s="2"/>
      <c r="P1" s="2"/>
      <c r="R1" s="183" t="s">
        <v>287</v>
      </c>
      <c r="S1" s="184"/>
      <c r="T1" s="184"/>
      <c r="U1" s="184"/>
      <c r="V1" s="185">
        <v>0</v>
      </c>
    </row>
    <row r="2" spans="1:22" ht="17.399999999999999" x14ac:dyDescent="0.3">
      <c r="A2" s="10" t="s">
        <v>121</v>
      </c>
      <c r="B2" s="2"/>
      <c r="C2" s="2"/>
      <c r="D2" s="2"/>
      <c r="E2" s="2"/>
      <c r="F2" s="2"/>
      <c r="G2" s="2"/>
      <c r="H2" s="2"/>
      <c r="I2" s="2"/>
      <c r="J2" s="2"/>
      <c r="L2" s="2"/>
      <c r="M2" s="2"/>
      <c r="N2" s="2"/>
      <c r="O2" s="2"/>
      <c r="P2" s="2"/>
      <c r="R2" s="186" t="s">
        <v>310</v>
      </c>
      <c r="S2" s="187"/>
      <c r="T2" s="187"/>
      <c r="U2" s="187"/>
      <c r="V2" s="188">
        <f>V4-V1</f>
        <v>49</v>
      </c>
    </row>
    <row r="3" spans="1:22" ht="18" thickBot="1" x14ac:dyDescent="0.35">
      <c r="A3" s="6" t="s">
        <v>87</v>
      </c>
      <c r="B3" s="3">
        <f>'1-Hist'!B5</f>
        <v>42855</v>
      </c>
      <c r="C3" s="3">
        <f>'1-Hist'!D5</f>
        <v>42490</v>
      </c>
      <c r="D3" s="3">
        <f>'1-Hist'!F5</f>
        <v>42124</v>
      </c>
      <c r="E3" s="3">
        <f>'1-Hist'!H5</f>
        <v>41759</v>
      </c>
      <c r="F3" s="3">
        <f>'1-Hist'!J5</f>
        <v>41394</v>
      </c>
      <c r="G3" s="2"/>
      <c r="H3" s="2"/>
      <c r="I3" s="2"/>
      <c r="J3" s="2"/>
      <c r="K3" s="2"/>
      <c r="L3" s="2"/>
      <c r="M3" s="2"/>
      <c r="N3" s="2"/>
      <c r="O3" s="2"/>
      <c r="P3" s="2"/>
      <c r="R3" s="189"/>
      <c r="S3" s="187"/>
      <c r="T3" s="187"/>
      <c r="U3" s="187"/>
      <c r="V3" s="190"/>
    </row>
    <row r="4" spans="1:22" ht="18.600000000000001" thickTop="1" thickBot="1" x14ac:dyDescent="0.35">
      <c r="A4" s="4" t="s">
        <v>112</v>
      </c>
      <c r="B4" s="146"/>
      <c r="C4" s="146"/>
      <c r="D4" s="146"/>
      <c r="E4" s="146"/>
      <c r="F4" s="2"/>
      <c r="G4" s="2"/>
      <c r="H4" s="2"/>
      <c r="I4" s="2"/>
      <c r="J4" s="2"/>
      <c r="K4" s="2"/>
      <c r="L4" s="2"/>
      <c r="M4" s="2"/>
      <c r="N4" s="2"/>
      <c r="O4" s="2"/>
      <c r="P4" s="2"/>
      <c r="R4" s="191" t="s">
        <v>303</v>
      </c>
      <c r="S4" s="192"/>
      <c r="T4" s="192"/>
      <c r="U4" s="192"/>
      <c r="V4" s="193">
        <v>49</v>
      </c>
    </row>
    <row r="5" spans="1:22" ht="15" thickTop="1" thickBot="1" x14ac:dyDescent="0.3">
      <c r="A5" s="4" t="s">
        <v>113</v>
      </c>
      <c r="B5" s="146"/>
      <c r="C5" s="146"/>
      <c r="D5" s="146"/>
      <c r="E5" s="146"/>
      <c r="F5" s="2"/>
      <c r="G5" s="2"/>
      <c r="H5" s="2"/>
      <c r="I5" s="2"/>
      <c r="J5" s="2"/>
      <c r="K5" s="2"/>
      <c r="L5" s="2"/>
      <c r="M5" s="2"/>
      <c r="N5" s="2"/>
      <c r="O5" s="2"/>
      <c r="P5" s="2"/>
    </row>
    <row r="6" spans="1:22" ht="15" thickTop="1" thickBot="1" x14ac:dyDescent="0.3">
      <c r="A6" s="4" t="s">
        <v>114</v>
      </c>
      <c r="B6" s="146"/>
      <c r="C6" s="146"/>
      <c r="D6" s="146"/>
      <c r="E6" s="146"/>
      <c r="F6" s="2"/>
      <c r="G6" s="2"/>
      <c r="H6" s="2"/>
      <c r="I6" s="2"/>
      <c r="J6" s="2"/>
      <c r="K6" s="2"/>
      <c r="L6" s="2"/>
      <c r="M6" s="2"/>
      <c r="N6" s="2"/>
      <c r="O6" s="2"/>
      <c r="P6" s="2"/>
    </row>
    <row r="7" spans="1:22" ht="15" thickTop="1" thickBot="1" x14ac:dyDescent="0.3">
      <c r="A7" s="15" t="s">
        <v>115</v>
      </c>
      <c r="B7" s="146"/>
      <c r="C7" s="146"/>
      <c r="D7" s="146"/>
      <c r="E7" s="146"/>
      <c r="G7" s="2"/>
      <c r="H7" s="2"/>
      <c r="I7" s="2"/>
      <c r="J7" s="2"/>
      <c r="K7" s="2"/>
      <c r="L7" s="2"/>
      <c r="M7" s="2"/>
      <c r="N7" s="2"/>
      <c r="O7" s="2"/>
      <c r="P7" s="2"/>
    </row>
    <row r="8" spans="1:22" ht="15" hidden="1" thickTop="1" thickBot="1" x14ac:dyDescent="0.3">
      <c r="A8" s="225" t="s">
        <v>115</v>
      </c>
      <c r="B8" s="226"/>
      <c r="C8" s="226"/>
      <c r="D8" s="226"/>
      <c r="E8" s="226"/>
      <c r="F8" s="2"/>
      <c r="G8" s="2"/>
      <c r="I8" s="2"/>
      <c r="K8" s="2"/>
      <c r="L8" s="2"/>
      <c r="M8" s="2"/>
      <c r="N8" s="2"/>
      <c r="O8" s="2"/>
      <c r="P8" s="2"/>
    </row>
    <row r="9" spans="1:22" ht="15" thickTop="1" thickBot="1" x14ac:dyDescent="0.3">
      <c r="A9" s="9" t="s">
        <v>116</v>
      </c>
      <c r="B9" s="145"/>
      <c r="C9" s="145"/>
      <c r="D9" s="145"/>
      <c r="E9" s="145"/>
      <c r="F9" s="2"/>
      <c r="G9" s="2"/>
      <c r="H9" s="11" t="s">
        <v>126</v>
      </c>
      <c r="I9" s="2"/>
      <c r="K9" s="2"/>
      <c r="L9" s="2"/>
      <c r="M9" s="2"/>
      <c r="N9" s="2"/>
      <c r="O9" s="2"/>
      <c r="P9" s="2"/>
    </row>
    <row r="10" spans="1:22" ht="15" thickTop="1" thickBot="1" x14ac:dyDescent="0.3">
      <c r="A10" s="9" t="s">
        <v>117</v>
      </c>
      <c r="B10" s="148"/>
      <c r="C10" s="148"/>
      <c r="D10" s="148"/>
      <c r="E10" s="148"/>
      <c r="G10" s="2"/>
      <c r="H10" s="11" t="s">
        <v>128</v>
      </c>
      <c r="I10" s="2"/>
      <c r="J10" s="2"/>
      <c r="K10" s="2"/>
      <c r="L10" s="2"/>
      <c r="M10" s="2"/>
      <c r="N10" s="2"/>
      <c r="O10" s="2"/>
      <c r="P10" s="2"/>
    </row>
    <row r="11" spans="1:22" ht="15" thickTop="1" thickBot="1" x14ac:dyDescent="0.3">
      <c r="A11" s="9"/>
      <c r="B11" s="137"/>
      <c r="C11" s="137"/>
      <c r="D11" s="137"/>
      <c r="E11" s="137"/>
      <c r="F11" s="2"/>
      <c r="G11" s="2"/>
      <c r="H11" s="2"/>
      <c r="I11" s="2"/>
      <c r="J11" s="2"/>
      <c r="K11" s="2"/>
      <c r="L11" s="2"/>
      <c r="M11" s="2"/>
      <c r="N11" s="2"/>
      <c r="O11" s="2"/>
      <c r="P11" s="2"/>
    </row>
    <row r="12" spans="1:22" ht="15" thickTop="1" thickBot="1" x14ac:dyDescent="0.3">
      <c r="A12" s="9" t="s">
        <v>309</v>
      </c>
      <c r="B12" s="140"/>
      <c r="C12" s="140"/>
      <c r="D12" s="140"/>
      <c r="E12" s="140"/>
      <c r="G12" s="2"/>
      <c r="H12" s="2"/>
      <c r="I12" s="2"/>
      <c r="J12" s="2"/>
      <c r="K12" s="2"/>
      <c r="L12" s="2"/>
      <c r="M12" s="2"/>
      <c r="N12" s="2"/>
      <c r="O12" s="2"/>
      <c r="P12" s="2"/>
    </row>
    <row r="13" spans="1:22" ht="15" thickTop="1" thickBot="1" x14ac:dyDescent="0.3">
      <c r="A13" s="9" t="s">
        <v>118</v>
      </c>
      <c r="B13" s="149"/>
      <c r="C13" s="149"/>
      <c r="D13" s="149"/>
      <c r="E13" s="149"/>
      <c r="F13" s="149"/>
      <c r="G13" s="2"/>
      <c r="H13" s="2"/>
      <c r="I13" s="2"/>
      <c r="K13" s="2"/>
      <c r="L13" s="2"/>
      <c r="M13" s="2"/>
      <c r="N13" s="2"/>
      <c r="O13" s="2"/>
      <c r="P13" s="2"/>
    </row>
    <row r="14" spans="1:22" ht="15" thickTop="1" thickBot="1" x14ac:dyDescent="0.3">
      <c r="A14" s="9" t="s">
        <v>234</v>
      </c>
      <c r="B14" s="149"/>
      <c r="C14" s="149"/>
      <c r="D14" s="149"/>
      <c r="E14" s="149"/>
      <c r="G14" s="2"/>
      <c r="H14" s="2"/>
      <c r="I14" s="2"/>
      <c r="K14" s="2"/>
      <c r="L14" s="2"/>
      <c r="M14" s="2"/>
      <c r="N14" s="2"/>
      <c r="O14" s="2"/>
      <c r="P14" s="2"/>
    </row>
    <row r="15" spans="1:22" ht="28.8" thickTop="1" thickBot="1" x14ac:dyDescent="0.3">
      <c r="A15" s="34" t="s">
        <v>298</v>
      </c>
      <c r="B15" s="150"/>
      <c r="C15" s="150"/>
      <c r="D15" s="150"/>
      <c r="E15" s="150"/>
      <c r="G15" s="2"/>
      <c r="H15" s="2"/>
      <c r="I15" s="2"/>
      <c r="K15" s="2"/>
      <c r="L15" s="2"/>
      <c r="M15" s="2"/>
      <c r="N15" s="2"/>
      <c r="O15" s="2"/>
      <c r="P15" s="2"/>
    </row>
    <row r="16" spans="1:22" ht="15" thickTop="1" thickBot="1" x14ac:dyDescent="0.3">
      <c r="A16" s="7" t="s">
        <v>119</v>
      </c>
      <c r="B16" s="146"/>
      <c r="C16" s="146"/>
      <c r="D16" s="146"/>
      <c r="E16" s="146"/>
      <c r="F16" s="2"/>
      <c r="G16" s="2"/>
      <c r="H16" s="2"/>
      <c r="I16" s="2"/>
      <c r="K16" s="2"/>
      <c r="L16" s="2"/>
      <c r="M16" s="2"/>
      <c r="N16" s="2"/>
      <c r="O16" s="2"/>
      <c r="P16" s="2"/>
    </row>
    <row r="17" spans="1:16" ht="15" thickTop="1" thickBot="1" x14ac:dyDescent="0.3">
      <c r="A17" s="15" t="s">
        <v>80</v>
      </c>
      <c r="B17" s="142"/>
      <c r="C17" s="142"/>
      <c r="D17" s="142"/>
      <c r="E17" s="142"/>
      <c r="G17" s="217" t="s">
        <v>295</v>
      </c>
      <c r="H17" s="2"/>
      <c r="I17" s="2"/>
      <c r="J17" s="2"/>
      <c r="L17" s="2"/>
      <c r="M17" s="2"/>
      <c r="N17" s="2"/>
      <c r="O17" s="2"/>
      <c r="P17" s="2"/>
    </row>
    <row r="18" spans="1:16" ht="14.4" thickTop="1" x14ac:dyDescent="0.25">
      <c r="A18" s="2"/>
      <c r="B18" s="2"/>
      <c r="C18" s="2"/>
      <c r="D18" s="2"/>
      <c r="E18" s="2"/>
      <c r="F18" s="2"/>
      <c r="G18" s="2"/>
      <c r="H18" s="2"/>
      <c r="I18" s="2"/>
      <c r="J18" s="2"/>
      <c r="K18" s="2"/>
      <c r="L18" s="2"/>
      <c r="M18" s="2"/>
      <c r="N18" s="2"/>
      <c r="O18" s="2"/>
      <c r="P18" s="2"/>
    </row>
    <row r="19" spans="1:16" ht="13.8" x14ac:dyDescent="0.25">
      <c r="A19" s="28" t="s">
        <v>215</v>
      </c>
      <c r="B19" s="28" t="s">
        <v>216</v>
      </c>
      <c r="C19" s="11"/>
      <c r="D19" s="11"/>
      <c r="E19" s="11"/>
      <c r="F19" s="29"/>
      <c r="G19" s="29"/>
      <c r="H19" s="29"/>
      <c r="I19" s="29"/>
      <c r="J19" s="30" t="s">
        <v>217</v>
      </c>
      <c r="L19" s="2"/>
      <c r="M19" s="2"/>
      <c r="N19" s="2"/>
    </row>
    <row r="20" spans="1:16" ht="13.8" x14ac:dyDescent="0.25">
      <c r="A20" s="25" t="s">
        <v>204</v>
      </c>
      <c r="B20" s="2" t="s">
        <v>210</v>
      </c>
      <c r="J20" s="2" t="s">
        <v>225</v>
      </c>
    </row>
    <row r="21" spans="1:16" ht="13.8" x14ac:dyDescent="0.25">
      <c r="A21" s="31" t="s">
        <v>205</v>
      </c>
      <c r="B21" s="21" t="s">
        <v>221</v>
      </c>
      <c r="C21" s="18"/>
      <c r="D21" s="18"/>
      <c r="E21" s="18"/>
      <c r="F21" s="18"/>
      <c r="G21" s="18"/>
      <c r="J21" s="2" t="s">
        <v>226</v>
      </c>
    </row>
    <row r="22" spans="1:16" ht="13.8" x14ac:dyDescent="0.25">
      <c r="A22" s="25" t="s">
        <v>206</v>
      </c>
      <c r="B22" s="21" t="s">
        <v>222</v>
      </c>
      <c r="J22" s="2" t="s">
        <v>226</v>
      </c>
    </row>
    <row r="23" spans="1:16" ht="14.4" x14ac:dyDescent="0.3">
      <c r="A23" s="26" t="s">
        <v>207</v>
      </c>
      <c r="B23" s="2" t="s">
        <v>239</v>
      </c>
      <c r="C23" s="2"/>
      <c r="D23" s="2"/>
      <c r="J23" s="2" t="s">
        <v>227</v>
      </c>
    </row>
    <row r="24" spans="1:16" ht="14.4" x14ac:dyDescent="0.3">
      <c r="A24" s="27" t="s">
        <v>208</v>
      </c>
      <c r="B24" s="2" t="s">
        <v>223</v>
      </c>
      <c r="C24" s="2"/>
      <c r="D24" s="2"/>
      <c r="J24" s="2" t="s">
        <v>228</v>
      </c>
    </row>
    <row r="25" spans="1:16" ht="14.4" x14ac:dyDescent="0.3">
      <c r="A25" s="27" t="s">
        <v>209</v>
      </c>
      <c r="B25" s="2" t="s">
        <v>224</v>
      </c>
      <c r="C25" s="2"/>
      <c r="D25" s="2"/>
      <c r="J25" s="2" t="s">
        <v>229</v>
      </c>
    </row>
    <row r="26" spans="1:16" ht="14.4" thickBot="1" x14ac:dyDescent="0.3">
      <c r="A26" s="27"/>
      <c r="B26" s="2"/>
      <c r="C26" s="2"/>
      <c r="D26" s="2"/>
    </row>
    <row r="27" spans="1:16" ht="13.8" x14ac:dyDescent="0.25">
      <c r="A27" s="32" t="s">
        <v>230</v>
      </c>
      <c r="B27" s="2"/>
      <c r="C27" s="285" t="s">
        <v>302</v>
      </c>
      <c r="D27" s="286"/>
    </row>
    <row r="28" spans="1:16" ht="13.8" x14ac:dyDescent="0.25">
      <c r="A28" s="33" t="s">
        <v>231</v>
      </c>
      <c r="B28" s="2"/>
      <c r="C28" s="287"/>
      <c r="D28" s="288"/>
    </row>
    <row r="29" spans="1:16" ht="14.4" thickBot="1" x14ac:dyDescent="0.3">
      <c r="A29" s="230" t="s">
        <v>232</v>
      </c>
      <c r="B29" s="2"/>
      <c r="C29" s="289"/>
      <c r="D29" s="290"/>
    </row>
    <row r="30" spans="1:16" ht="13.8" x14ac:dyDescent="0.25">
      <c r="A30" s="2"/>
      <c r="B30" s="2"/>
      <c r="C30" s="2"/>
      <c r="D30" s="2"/>
    </row>
    <row r="31" spans="1:16" ht="13.8" x14ac:dyDescent="0.25">
      <c r="A31" s="2"/>
      <c r="B31" s="2"/>
      <c r="C31" s="2"/>
      <c r="D31" s="2"/>
    </row>
    <row r="32" spans="1:16" ht="13.8" x14ac:dyDescent="0.25">
      <c r="A32" s="2"/>
      <c r="B32" s="2"/>
      <c r="C32" s="2"/>
      <c r="D32" s="2"/>
    </row>
    <row r="33" spans="1:4" ht="13.8" x14ac:dyDescent="0.25">
      <c r="A33" s="2"/>
      <c r="B33" s="2"/>
      <c r="C33" s="2"/>
      <c r="D33" s="2"/>
    </row>
    <row r="34" spans="1:4" ht="13.8" x14ac:dyDescent="0.25">
      <c r="A34" s="2"/>
      <c r="B34" s="2"/>
      <c r="C34" s="2"/>
      <c r="D34" s="2"/>
    </row>
    <row r="35" spans="1:4" ht="13.8" x14ac:dyDescent="0.25">
      <c r="A35" s="2"/>
      <c r="B35" s="2"/>
      <c r="C35" s="2"/>
      <c r="D35" s="2"/>
    </row>
    <row r="36" spans="1:4" ht="13.8" x14ac:dyDescent="0.25">
      <c r="A36" s="2"/>
      <c r="B36" s="2"/>
      <c r="C36" s="2"/>
      <c r="D36" s="2"/>
    </row>
    <row r="37" spans="1:4" ht="13.8" x14ac:dyDescent="0.25">
      <c r="A37" s="2"/>
      <c r="B37" s="2"/>
      <c r="C37" s="2"/>
      <c r="D37" s="2"/>
    </row>
  </sheetData>
  <mergeCells count="1">
    <mergeCell ref="C27:D29"/>
  </mergeCells>
  <printOptions horizontalCentered="1" verticalCentered="1" gridLines="1"/>
  <pageMargins left="0.7" right="0.7" top="0.75" bottom="0.75" header="0.3" footer="0.3"/>
  <pageSetup scale="66" orientation="landscape" r:id="rId1"/>
  <colBreaks count="1" manualBreakCount="1">
    <brk id="16" max="1048575" man="1"/>
  </col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ColWidth="8.77734375" defaultRowHeight="13.2" x14ac:dyDescent="0.25"/>
  <sheetData>
    <row r="1" spans="1:1" x14ac:dyDescent="0.25">
      <c r="A1" s="14"/>
    </row>
  </sheetData>
  <sheetProtection algorithmName="SHA-512" hashValue="a+WIPZG7Eqqv7Y3+SfVxM+hx5joMs0Vxs78kiUjH6qY9KGNDXrWEPoq2Et5RgVrs6q6U3/pBEeginjOx+JUIwg==" saltValue="nQRU8gR4PFxkaBRuzlxuHw==" spinCount="100000" sheet="1" objects="1" scenarios="1"/>
  <printOptions horizontalCentered="1" verticalCentered="1"/>
  <pageMargins left="0.7" right="0.7" top="0.75" bottom="0.75" header="0.3" footer="0.3"/>
  <pageSetup scale="64" orientation="landscape" horizontalDpi="0" verticalDpi="0"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2"/>
  <sheetViews>
    <sheetView zoomScaleNormal="100" zoomScaleSheetLayoutView="100" workbookViewId="0"/>
  </sheetViews>
  <sheetFormatPr defaultColWidth="8.77734375" defaultRowHeight="13.2" x14ac:dyDescent="0.25"/>
  <cols>
    <col min="1" max="1" width="36.21875" style="35" bestFit="1" customWidth="1"/>
    <col min="2" max="2" width="11" style="35" bestFit="1" customWidth="1"/>
    <col min="3" max="3" width="11" style="35" hidden="1" customWidth="1"/>
    <col min="4" max="4" width="11" style="35" bestFit="1" customWidth="1"/>
    <col min="5" max="5" width="11" style="35" hidden="1" customWidth="1"/>
    <col min="6" max="6" width="11" style="35" bestFit="1" customWidth="1"/>
    <col min="7" max="7" width="11" style="35" hidden="1" customWidth="1"/>
    <col min="8" max="8" width="11" style="35" bestFit="1" customWidth="1"/>
    <col min="9" max="9" width="11" style="35" hidden="1" customWidth="1"/>
    <col min="10" max="10" width="12.88671875" style="35" customWidth="1"/>
    <col min="11" max="16384" width="8.77734375" style="35"/>
  </cols>
  <sheetData>
    <row r="1" spans="1:12" ht="24.6" x14ac:dyDescent="0.4">
      <c r="A1" s="213" t="s">
        <v>321</v>
      </c>
      <c r="L1" s="244">
        <v>1.05</v>
      </c>
    </row>
    <row r="3" spans="1:12" ht="17.399999999999999" x14ac:dyDescent="0.3">
      <c r="A3" s="36" t="s">
        <v>122</v>
      </c>
    </row>
    <row r="4" spans="1:12" ht="13.8" thickBot="1" x14ac:dyDescent="0.3"/>
    <row r="5" spans="1:12" ht="14.4" thickBot="1" x14ac:dyDescent="0.3">
      <c r="A5" s="37" t="s">
        <v>87</v>
      </c>
      <c r="B5" s="38">
        <v>42855</v>
      </c>
      <c r="C5" s="38"/>
      <c r="D5" s="243">
        <f>B5-365</f>
        <v>42490</v>
      </c>
      <c r="E5" s="243"/>
      <c r="F5" s="243">
        <f>D5-366</f>
        <v>42124</v>
      </c>
      <c r="G5" s="243"/>
      <c r="H5" s="243">
        <f>F5-365</f>
        <v>41759</v>
      </c>
      <c r="I5" s="243"/>
      <c r="J5" s="243">
        <f>H5-365</f>
        <v>41394</v>
      </c>
    </row>
    <row r="6" spans="1:12" ht="14.4" thickBot="1" x14ac:dyDescent="0.3">
      <c r="A6" s="39" t="s">
        <v>123</v>
      </c>
      <c r="B6" s="40">
        <f>100*L1</f>
        <v>105</v>
      </c>
      <c r="C6" s="40"/>
      <c r="D6" s="40">
        <f>90*L1</f>
        <v>94.5</v>
      </c>
      <c r="E6" s="40"/>
      <c r="F6" s="40">
        <f>70*L1</f>
        <v>73.5</v>
      </c>
      <c r="G6" s="40"/>
      <c r="H6" s="40">
        <f>55*L1</f>
        <v>57.75</v>
      </c>
      <c r="I6" s="40"/>
      <c r="J6" s="40">
        <f>40*L1</f>
        <v>42</v>
      </c>
    </row>
    <row r="7" spans="1:12" ht="14.4" thickBot="1" x14ac:dyDescent="0.3">
      <c r="A7" s="39" t="s">
        <v>124</v>
      </c>
      <c r="B7" s="242">
        <f>1550*L1</f>
        <v>1627.5</v>
      </c>
      <c r="C7" s="242"/>
      <c r="D7" s="242">
        <f>1500*L1</f>
        <v>1575</v>
      </c>
      <c r="E7" s="242"/>
      <c r="F7" s="242">
        <f>1400*L1</f>
        <v>1470</v>
      </c>
      <c r="G7" s="242"/>
      <c r="H7" s="242">
        <f>1300*L1</f>
        <v>1365</v>
      </c>
      <c r="I7" s="242"/>
      <c r="J7" s="242">
        <f>1250*L1</f>
        <v>1312.5</v>
      </c>
      <c r="L7" s="75"/>
    </row>
    <row r="8" spans="1:12" ht="28.2" thickBot="1" x14ac:dyDescent="0.3">
      <c r="A8" s="42" t="s">
        <v>235</v>
      </c>
      <c r="B8" s="41">
        <f>ROUND(B7*1.08,0)</f>
        <v>1758</v>
      </c>
      <c r="C8" s="41"/>
      <c r="D8" s="41">
        <f>ROUND(D7*1.07,0)</f>
        <v>1685</v>
      </c>
      <c r="E8" s="41">
        <f t="shared" ref="E8:J8" si="0">ROUND(E7*1.04,0)</f>
        <v>0</v>
      </c>
      <c r="F8" s="41">
        <f>ROUND(F7*1.06,0)</f>
        <v>1558</v>
      </c>
      <c r="G8" s="41">
        <f t="shared" si="0"/>
        <v>0</v>
      </c>
      <c r="H8" s="41">
        <f>ROUND(H7*1.05,0)</f>
        <v>1433</v>
      </c>
      <c r="I8" s="41">
        <f t="shared" si="0"/>
        <v>0</v>
      </c>
      <c r="J8" s="41">
        <f t="shared" si="0"/>
        <v>1365</v>
      </c>
    </row>
    <row r="10" spans="1:12" ht="17.399999999999999" x14ac:dyDescent="0.3">
      <c r="A10" s="36" t="s">
        <v>238</v>
      </c>
    </row>
    <row r="11" spans="1:12" ht="13.8" thickBot="1" x14ac:dyDescent="0.3"/>
    <row r="12" spans="1:12" ht="14.4" thickBot="1" x14ac:dyDescent="0.3">
      <c r="A12" s="43" t="s">
        <v>237</v>
      </c>
      <c r="B12" s="44">
        <f>-'4-SCF'!B38</f>
        <v>3031</v>
      </c>
      <c r="C12" s="44"/>
      <c r="D12" s="44">
        <f>-'4-SCF'!D38</f>
        <v>2530</v>
      </c>
      <c r="E12" s="44"/>
      <c r="F12" s="44">
        <f>-'4-SCF'!F38</f>
        <v>2243</v>
      </c>
      <c r="G12" s="44"/>
      <c r="H12" s="44">
        <f>-'4-SCF'!H38</f>
        <v>1743</v>
      </c>
      <c r="I12" s="46"/>
      <c r="K12" s="45"/>
    </row>
  </sheetData>
  <sheetProtection algorithmName="SHA-512" hashValue="Mja5Nzowtx0PWz1K3mziiTXl3MpNN1lxb3Gn3y8cMti0NWdwyq/nVwY+rVvdzPTKUjEhAifACEEeoeqBakDemg==" saltValue="O2AMBTcs7UykXjgkus9C/Q==" spinCount="100000" sheet="1" objects="1" scenarios="1"/>
  <printOptions horizontalCentered="1" verticalCentered="1"/>
  <pageMargins left="0.7" right="0.7" top="0.75" bottom="0.75" header="0.3" footer="0.3"/>
  <pageSetup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61"/>
  <sheetViews>
    <sheetView zoomScaleNormal="100" zoomScaleSheetLayoutView="100" workbookViewId="0"/>
  </sheetViews>
  <sheetFormatPr defaultColWidth="8.77734375" defaultRowHeight="13.2" x14ac:dyDescent="0.25"/>
  <cols>
    <col min="1" max="1" width="36.6640625" style="35" bestFit="1" customWidth="1"/>
    <col min="2" max="2" width="11" style="35" bestFit="1" customWidth="1"/>
    <col min="3" max="3" width="0.77734375" style="35" customWidth="1"/>
    <col min="4" max="4" width="11" style="35" bestFit="1" customWidth="1"/>
    <col min="5" max="5" width="0.77734375" style="35" customWidth="1"/>
    <col min="6" max="6" width="11" style="35" bestFit="1" customWidth="1"/>
    <col min="7" max="7" width="11" style="35" hidden="1" customWidth="1"/>
    <col min="8" max="8" width="11" style="35" bestFit="1" customWidth="1"/>
    <col min="9" max="13" width="0" style="35" hidden="1" customWidth="1"/>
    <col min="14" max="14" width="0.44140625" style="35" customWidth="1"/>
    <col min="15" max="15" width="0.5546875" style="35" customWidth="1"/>
    <col min="16" max="16384" width="8.77734375" style="35"/>
  </cols>
  <sheetData>
    <row r="1" spans="1:16" x14ac:dyDescent="0.25">
      <c r="A1" s="47" t="str">
        <f>'1-Hist'!A1</f>
        <v>Peninsular Wholesale</v>
      </c>
    </row>
    <row r="2" spans="1:16" x14ac:dyDescent="0.25">
      <c r="A2" s="47" t="s">
        <v>129</v>
      </c>
    </row>
    <row r="3" spans="1:16" ht="13.8" x14ac:dyDescent="0.25">
      <c r="A3" s="47"/>
      <c r="B3" s="48"/>
      <c r="C3" s="48"/>
      <c r="D3" s="48"/>
      <c r="E3" s="48"/>
      <c r="F3" s="48"/>
      <c r="G3" s="48"/>
      <c r="H3" s="48"/>
    </row>
    <row r="4" spans="1:16" ht="13.8" x14ac:dyDescent="0.25">
      <c r="A4" s="48"/>
      <c r="B4" s="48"/>
      <c r="C4" s="48"/>
      <c r="D4" s="48"/>
      <c r="E4" s="48"/>
      <c r="F4" s="48"/>
      <c r="G4" s="48"/>
      <c r="H4" s="48"/>
    </row>
    <row r="5" spans="1:16" ht="13.8" x14ac:dyDescent="0.25">
      <c r="A5" s="49" t="s">
        <v>81</v>
      </c>
      <c r="B5" s="50"/>
      <c r="C5" s="50"/>
      <c r="D5" s="50"/>
      <c r="E5" s="50"/>
      <c r="F5" s="50"/>
      <c r="G5" s="50"/>
      <c r="H5" s="48"/>
    </row>
    <row r="6" spans="1:16" ht="13.8" x14ac:dyDescent="0.25">
      <c r="A6" s="49"/>
      <c r="B6" s="50"/>
      <c r="C6" s="50"/>
      <c r="D6" s="50"/>
      <c r="E6" s="50"/>
      <c r="F6" s="50"/>
      <c r="G6" s="50"/>
      <c r="H6" s="48"/>
    </row>
    <row r="7" spans="1:16" ht="13.8" x14ac:dyDescent="0.25">
      <c r="A7" s="49" t="s">
        <v>132</v>
      </c>
      <c r="B7" s="51">
        <f>'1-Hist'!B5</f>
        <v>42855</v>
      </c>
      <c r="C7" s="51"/>
      <c r="D7" s="51">
        <f>'1-Hist'!D5</f>
        <v>42490</v>
      </c>
      <c r="E7" s="51"/>
      <c r="F7" s="51">
        <f>'1-Hist'!F5</f>
        <v>42124</v>
      </c>
      <c r="G7" s="51"/>
      <c r="H7" s="51">
        <f>'1-Hist'!H5</f>
        <v>41759</v>
      </c>
      <c r="I7" s="47">
        <v>2015</v>
      </c>
      <c r="J7" s="47"/>
      <c r="K7" s="47">
        <v>2014</v>
      </c>
      <c r="L7" s="47"/>
      <c r="M7" s="47">
        <v>2013</v>
      </c>
      <c r="N7" s="47"/>
      <c r="O7" s="47">
        <v>2012</v>
      </c>
    </row>
    <row r="8" spans="1:16" ht="13.8" x14ac:dyDescent="0.25">
      <c r="A8" s="49" t="s">
        <v>1</v>
      </c>
      <c r="B8" s="52">
        <f>C8+D8</f>
        <v>87000</v>
      </c>
      <c r="C8" s="52">
        <f>5343-1343</f>
        <v>4000</v>
      </c>
      <c r="D8" s="52">
        <f>E8+F8</f>
        <v>83000</v>
      </c>
      <c r="E8" s="52">
        <f>4364-364</f>
        <v>4000</v>
      </c>
      <c r="F8" s="52">
        <f>G8+H8</f>
        <v>79000</v>
      </c>
      <c r="G8" s="52">
        <f>4058-812+1000</f>
        <v>4246</v>
      </c>
      <c r="H8" s="52">
        <v>74754</v>
      </c>
      <c r="I8" s="53">
        <f>B8/B$8</f>
        <v>1</v>
      </c>
      <c r="J8" s="53"/>
      <c r="K8" s="53">
        <f>D8/D$8</f>
        <v>1</v>
      </c>
      <c r="L8" s="53"/>
      <c r="M8" s="53">
        <f>F8/F$8</f>
        <v>1</v>
      </c>
      <c r="N8" s="53"/>
      <c r="O8" s="53">
        <f>H8/H$8</f>
        <v>1</v>
      </c>
    </row>
    <row r="9" spans="1:16" ht="13.8" x14ac:dyDescent="0.25">
      <c r="A9" s="49"/>
      <c r="B9" s="52"/>
      <c r="C9" s="52"/>
      <c r="D9" s="52"/>
      <c r="E9" s="52"/>
      <c r="F9" s="52"/>
      <c r="G9" s="52"/>
      <c r="H9" s="52"/>
      <c r="I9" s="53"/>
      <c r="J9" s="53"/>
      <c r="K9" s="53"/>
      <c r="L9" s="53"/>
      <c r="M9" s="53"/>
      <c r="N9" s="53"/>
      <c r="O9" s="53"/>
    </row>
    <row r="10" spans="1:16" ht="13.8" x14ac:dyDescent="0.25">
      <c r="A10" s="49" t="s">
        <v>15</v>
      </c>
      <c r="B10" s="54">
        <f>B8*I10</f>
        <v>57254.352172979809</v>
      </c>
      <c r="C10" s="54"/>
      <c r="D10" s="54">
        <f t="shared" ref="D10:H10" si="0">D8*K10</f>
        <v>54671.070982014047</v>
      </c>
      <c r="E10" s="54"/>
      <c r="F10" s="54">
        <f t="shared" si="0"/>
        <v>52020.796325432675</v>
      </c>
      <c r="G10" s="54"/>
      <c r="H10" s="54">
        <f t="shared" si="0"/>
        <v>48912</v>
      </c>
      <c r="I10" s="53">
        <v>0.65809600198827367</v>
      </c>
      <c r="J10" s="53"/>
      <c r="K10" s="53">
        <v>0.65868760219294031</v>
      </c>
      <c r="L10" s="53"/>
      <c r="M10" s="53">
        <v>0.65849109272699591</v>
      </c>
      <c r="N10" s="53"/>
      <c r="O10" s="53">
        <v>0.65430612408700539</v>
      </c>
    </row>
    <row r="11" spans="1:16" ht="13.8" x14ac:dyDescent="0.25">
      <c r="A11" s="49"/>
      <c r="B11" s="54"/>
      <c r="C11" s="54"/>
      <c r="D11" s="54"/>
      <c r="E11" s="54"/>
      <c r="F11" s="54"/>
      <c r="G11" s="54"/>
      <c r="H11" s="54"/>
      <c r="I11" s="53"/>
      <c r="J11" s="53"/>
      <c r="K11" s="53"/>
      <c r="L11" s="53"/>
      <c r="M11" s="53"/>
      <c r="N11" s="53"/>
      <c r="O11" s="53"/>
    </row>
    <row r="12" spans="1:16" s="57" customFormat="1" ht="13.8" x14ac:dyDescent="0.25">
      <c r="A12" s="55" t="s">
        <v>2</v>
      </c>
      <c r="B12" s="56">
        <f>B8-B10</f>
        <v>29745.647827020191</v>
      </c>
      <c r="C12" s="56">
        <f t="shared" ref="C12" si="1">B12-D12</f>
        <v>1416.7188090342388</v>
      </c>
      <c r="D12" s="56">
        <f>D8-D10</f>
        <v>28328.929017985953</v>
      </c>
      <c r="E12" s="56">
        <f t="shared" ref="E12:G28" si="2">D12-F12</f>
        <v>1349.7253434186277</v>
      </c>
      <c r="F12" s="56">
        <f>F8-F10</f>
        <v>26979.203674567325</v>
      </c>
      <c r="G12" s="56">
        <f t="shared" si="2"/>
        <v>1137.2036745673249</v>
      </c>
      <c r="H12" s="56">
        <f>H8-H10</f>
        <v>25842</v>
      </c>
      <c r="I12" s="53">
        <f t="shared" ref="I12:I28" si="3">B12/B$8</f>
        <v>0.34190399801172633</v>
      </c>
      <c r="J12" s="53"/>
      <c r="K12" s="53">
        <f>D12/D$8</f>
        <v>0.34131239780705969</v>
      </c>
      <c r="L12" s="53"/>
      <c r="M12" s="53">
        <f>F12/F$8</f>
        <v>0.34150890727300409</v>
      </c>
      <c r="N12" s="53"/>
      <c r="O12" s="53">
        <f>H12/H$8</f>
        <v>0.34569387591299461</v>
      </c>
    </row>
    <row r="13" spans="1:16" ht="13.8" x14ac:dyDescent="0.25">
      <c r="A13" s="49"/>
      <c r="B13" s="54"/>
      <c r="C13" s="54"/>
      <c r="D13" s="54"/>
      <c r="E13" s="54"/>
      <c r="F13" s="54"/>
      <c r="G13" s="54"/>
      <c r="H13" s="54"/>
      <c r="I13" s="53"/>
      <c r="J13" s="53"/>
      <c r="K13" s="53"/>
      <c r="L13" s="53"/>
      <c r="M13" s="53"/>
      <c r="N13" s="53"/>
      <c r="O13" s="53"/>
    </row>
    <row r="14" spans="1:16" ht="13.8" x14ac:dyDescent="0.25">
      <c r="A14" s="49" t="s">
        <v>4</v>
      </c>
      <c r="B14" s="54" t="s">
        <v>0</v>
      </c>
      <c r="C14" s="54"/>
      <c r="D14" s="54" t="s">
        <v>0</v>
      </c>
      <c r="E14" s="54"/>
      <c r="F14" s="54" t="s">
        <v>0</v>
      </c>
      <c r="G14" s="54"/>
      <c r="H14" s="54" t="s">
        <v>0</v>
      </c>
      <c r="I14" s="53"/>
      <c r="J14" s="53"/>
      <c r="K14" s="53"/>
      <c r="L14" s="53"/>
      <c r="M14" s="53"/>
      <c r="N14" s="53"/>
      <c r="O14" s="53"/>
    </row>
    <row r="15" spans="1:16" ht="13.8" x14ac:dyDescent="0.25">
      <c r="A15" s="49" t="s">
        <v>5</v>
      </c>
      <c r="B15" s="54">
        <f t="shared" ref="B15:F16" si="4">C15+D15</f>
        <v>16801</v>
      </c>
      <c r="C15" s="54">
        <v>521</v>
      </c>
      <c r="D15" s="54">
        <f t="shared" si="4"/>
        <v>16280</v>
      </c>
      <c r="E15" s="54">
        <v>158</v>
      </c>
      <c r="F15" s="54">
        <f t="shared" si="4"/>
        <v>16122</v>
      </c>
      <c r="G15" s="54">
        <v>-386</v>
      </c>
      <c r="H15" s="54">
        <v>16508</v>
      </c>
      <c r="I15" s="53">
        <f t="shared" si="3"/>
        <v>0.19311494252873562</v>
      </c>
      <c r="J15" s="53"/>
      <c r="K15" s="53">
        <f>D15/D$8</f>
        <v>0.19614457831325302</v>
      </c>
      <c r="L15" s="53"/>
      <c r="M15" s="53">
        <f>F15/F$8</f>
        <v>0.20407594936708862</v>
      </c>
      <c r="N15" s="53"/>
      <c r="O15" s="53">
        <f>H15/H$8</f>
        <v>0.22083099232148112</v>
      </c>
    </row>
    <row r="16" spans="1:16" ht="13.8" x14ac:dyDescent="0.25">
      <c r="A16" s="49" t="s">
        <v>6</v>
      </c>
      <c r="B16" s="54">
        <f t="shared" si="4"/>
        <v>1690</v>
      </c>
      <c r="C16" s="54">
        <v>50</v>
      </c>
      <c r="D16" s="54">
        <f t="shared" si="4"/>
        <v>1640</v>
      </c>
      <c r="E16" s="54">
        <v>13</v>
      </c>
      <c r="F16" s="54">
        <f t="shared" si="4"/>
        <v>1627</v>
      </c>
      <c r="G16" s="54">
        <v>59</v>
      </c>
      <c r="H16" s="54">
        <v>1568</v>
      </c>
      <c r="I16" s="53">
        <f t="shared" si="3"/>
        <v>1.942528735632184E-2</v>
      </c>
      <c r="J16" s="53"/>
      <c r="K16" s="53">
        <f>D16/D$8</f>
        <v>1.9759036144578312E-2</v>
      </c>
      <c r="L16" s="53"/>
      <c r="M16" s="53">
        <f>F16/F$8</f>
        <v>2.0594936708860759E-2</v>
      </c>
      <c r="N16" s="53"/>
      <c r="O16" s="53">
        <f>H16/H$8</f>
        <v>2.0975466195788856E-2</v>
      </c>
      <c r="P16" s="58"/>
    </row>
    <row r="17" spans="1:16" s="62" customFormat="1" ht="13.8" x14ac:dyDescent="0.25">
      <c r="A17" s="59" t="s">
        <v>7</v>
      </c>
      <c r="B17" s="60">
        <f>B15+B16</f>
        <v>18491</v>
      </c>
      <c r="C17" s="60">
        <f t="shared" ref="C17" si="5">B17-D17</f>
        <v>571</v>
      </c>
      <c r="D17" s="60">
        <f>D15+D16</f>
        <v>17920</v>
      </c>
      <c r="E17" s="60">
        <f t="shared" si="2"/>
        <v>171</v>
      </c>
      <c r="F17" s="60">
        <f>F15+F16</f>
        <v>17749</v>
      </c>
      <c r="G17" s="60">
        <f t="shared" si="2"/>
        <v>-327</v>
      </c>
      <c r="H17" s="60">
        <f>H15+H16</f>
        <v>18076</v>
      </c>
      <c r="I17" s="53">
        <f t="shared" si="3"/>
        <v>0.21254022988505747</v>
      </c>
      <c r="J17" s="53"/>
      <c r="K17" s="53">
        <f>D17/D$8</f>
        <v>0.21590361445783132</v>
      </c>
      <c r="L17" s="53"/>
      <c r="M17" s="53">
        <f>F17/F$8</f>
        <v>0.22467088607594937</v>
      </c>
      <c r="N17" s="53"/>
      <c r="O17" s="53">
        <f>H17/H$8</f>
        <v>0.24180645851726998</v>
      </c>
      <c r="P17" s="61"/>
    </row>
    <row r="18" spans="1:16" s="57" customFormat="1" ht="13.8" x14ac:dyDescent="0.25">
      <c r="A18" s="55" t="s">
        <v>8</v>
      </c>
      <c r="B18" s="56">
        <f>B12-B17</f>
        <v>11254.647827020191</v>
      </c>
      <c r="C18" s="56">
        <f t="shared" ref="C18" si="6">B18-D18</f>
        <v>845.7188090342388</v>
      </c>
      <c r="D18" s="56">
        <f>D12-D17</f>
        <v>10408.929017985953</v>
      </c>
      <c r="E18" s="56">
        <f t="shared" si="2"/>
        <v>1178.7253434186277</v>
      </c>
      <c r="F18" s="56">
        <f>F12-F17</f>
        <v>9230.2036745673249</v>
      </c>
      <c r="G18" s="56">
        <f t="shared" si="2"/>
        <v>1464.2036745673249</v>
      </c>
      <c r="H18" s="56">
        <f>H12-H17</f>
        <v>7766</v>
      </c>
      <c r="I18" s="53">
        <f t="shared" si="3"/>
        <v>0.12936376812666886</v>
      </c>
      <c r="J18" s="53"/>
      <c r="K18" s="53">
        <f>D18/D$8</f>
        <v>0.12540878334922834</v>
      </c>
      <c r="L18" s="53"/>
      <c r="M18" s="53">
        <f>F18/F$8</f>
        <v>0.11683802119705475</v>
      </c>
      <c r="N18" s="53"/>
      <c r="O18" s="53">
        <f>H18/H$8</f>
        <v>0.10388741739572464</v>
      </c>
    </row>
    <row r="19" spans="1:16" ht="13.8" x14ac:dyDescent="0.25">
      <c r="A19" s="49"/>
      <c r="B19" s="54"/>
      <c r="C19" s="54"/>
      <c r="D19" s="54"/>
      <c r="E19" s="54"/>
      <c r="F19" s="54"/>
      <c r="G19" s="54"/>
      <c r="H19" s="54"/>
      <c r="I19" s="53"/>
      <c r="J19" s="53"/>
      <c r="K19" s="53"/>
      <c r="L19" s="53"/>
      <c r="M19" s="53"/>
      <c r="N19" s="53"/>
      <c r="O19" s="53"/>
    </row>
    <row r="20" spans="1:16" ht="13.8" x14ac:dyDescent="0.25">
      <c r="A20" s="49" t="s">
        <v>9</v>
      </c>
      <c r="B20" s="54" t="s">
        <v>0</v>
      </c>
      <c r="C20" s="54"/>
      <c r="D20" s="54" t="s">
        <v>0</v>
      </c>
      <c r="E20" s="54"/>
      <c r="F20" s="54" t="s">
        <v>0</v>
      </c>
      <c r="G20" s="54"/>
      <c r="H20" s="54" t="s">
        <v>0</v>
      </c>
      <c r="I20" s="53"/>
      <c r="J20" s="53"/>
      <c r="K20" s="53"/>
      <c r="L20" s="53"/>
      <c r="M20" s="53"/>
      <c r="N20" s="53"/>
      <c r="O20" s="53"/>
    </row>
    <row r="21" spans="1:16" ht="13.8" x14ac:dyDescent="0.25">
      <c r="A21" s="49" t="s">
        <v>10</v>
      </c>
      <c r="B21" s="54">
        <f t="shared" ref="B21:F23" si="7">C21+D21</f>
        <v>-166</v>
      </c>
      <c r="C21" s="54">
        <v>171</v>
      </c>
      <c r="D21" s="54">
        <f t="shared" si="7"/>
        <v>-337</v>
      </c>
      <c r="E21" s="54">
        <v>-325</v>
      </c>
      <c r="F21" s="54">
        <f t="shared" si="7"/>
        <v>-12</v>
      </c>
      <c r="G21" s="54">
        <v>8</v>
      </c>
      <c r="H21" s="54">
        <v>-20</v>
      </c>
      <c r="I21" s="53">
        <f t="shared" si="3"/>
        <v>-1.9080459770114942E-3</v>
      </c>
      <c r="J21" s="53"/>
      <c r="K21" s="53">
        <f>D21/D$8</f>
        <v>-4.0602409638554214E-3</v>
      </c>
      <c r="L21" s="53"/>
      <c r="M21" s="53">
        <f>F21/F$8</f>
        <v>-1.518987341772152E-4</v>
      </c>
      <c r="N21" s="53"/>
      <c r="O21" s="53">
        <f>H21/H$8</f>
        <v>-2.6754421168098029E-4</v>
      </c>
    </row>
    <row r="22" spans="1:16" ht="13.8" x14ac:dyDescent="0.25">
      <c r="A22" s="49" t="s">
        <v>11</v>
      </c>
      <c r="B22" s="54">
        <f t="shared" si="7"/>
        <v>919</v>
      </c>
      <c r="C22" s="54">
        <v>89</v>
      </c>
      <c r="D22" s="54">
        <f t="shared" si="7"/>
        <v>830</v>
      </c>
      <c r="E22" s="54">
        <v>119</v>
      </c>
      <c r="F22" s="54">
        <f t="shared" si="7"/>
        <v>711</v>
      </c>
      <c r="G22" s="54">
        <v>79</v>
      </c>
      <c r="H22" s="54">
        <v>632</v>
      </c>
      <c r="I22" s="53">
        <f t="shared" si="3"/>
        <v>1.0563218390804598E-2</v>
      </c>
      <c r="J22" s="53"/>
      <c r="K22" s="53">
        <f>D22/D$8</f>
        <v>0.01</v>
      </c>
      <c r="L22" s="53"/>
      <c r="M22" s="53">
        <f>F22/F$8</f>
        <v>8.9999999999999993E-3</v>
      </c>
      <c r="N22" s="53"/>
      <c r="O22" s="53">
        <f>H22/H$8</f>
        <v>8.4543970891189767E-3</v>
      </c>
    </row>
    <row r="23" spans="1:16" ht="13.8" x14ac:dyDescent="0.25">
      <c r="A23" s="49" t="s">
        <v>12</v>
      </c>
      <c r="B23" s="54">
        <f t="shared" si="7"/>
        <v>0</v>
      </c>
      <c r="C23" s="54">
        <v>0</v>
      </c>
      <c r="D23" s="54">
        <f t="shared" si="7"/>
        <v>0</v>
      </c>
      <c r="E23" s="54">
        <v>0</v>
      </c>
      <c r="F23" s="54">
        <f t="shared" si="7"/>
        <v>0</v>
      </c>
      <c r="G23" s="54">
        <v>67</v>
      </c>
      <c r="H23" s="54">
        <v>-67</v>
      </c>
      <c r="I23" s="53">
        <f t="shared" si="3"/>
        <v>0</v>
      </c>
      <c r="J23" s="53"/>
      <c r="K23" s="53">
        <f>D23/D$8</f>
        <v>0</v>
      </c>
      <c r="L23" s="53"/>
      <c r="M23" s="53">
        <f>F23/F$8</f>
        <v>0</v>
      </c>
      <c r="N23" s="53"/>
      <c r="O23" s="53">
        <f>H23/H$8</f>
        <v>-8.9627310913128393E-4</v>
      </c>
    </row>
    <row r="24" spans="1:16" ht="13.8" x14ac:dyDescent="0.25">
      <c r="A24" s="49"/>
      <c r="B24" s="54"/>
      <c r="C24" s="54"/>
      <c r="D24" s="54"/>
      <c r="E24" s="54"/>
      <c r="F24" s="54"/>
      <c r="G24" s="54"/>
      <c r="H24" s="54"/>
      <c r="I24" s="53"/>
      <c r="J24" s="53"/>
      <c r="K24" s="53"/>
      <c r="L24" s="53"/>
      <c r="M24" s="53"/>
      <c r="N24" s="53"/>
      <c r="O24" s="53"/>
    </row>
    <row r="25" spans="1:16" s="62" customFormat="1" ht="13.8" x14ac:dyDescent="0.25">
      <c r="A25" s="59" t="s">
        <v>13</v>
      </c>
      <c r="B25" s="60">
        <f>SUM(B21:B23)</f>
        <v>753</v>
      </c>
      <c r="C25" s="60">
        <f t="shared" ref="C25" si="8">B25-D25</f>
        <v>260</v>
      </c>
      <c r="D25" s="60">
        <f>SUM(D21:D23)</f>
        <v>493</v>
      </c>
      <c r="E25" s="60">
        <f t="shared" si="2"/>
        <v>-206</v>
      </c>
      <c r="F25" s="60">
        <f>SUM(F21:F23)</f>
        <v>699</v>
      </c>
      <c r="G25" s="60">
        <f t="shared" si="2"/>
        <v>154</v>
      </c>
      <c r="H25" s="60">
        <f>SUM(H21:H23)</f>
        <v>545</v>
      </c>
      <c r="I25" s="53">
        <f t="shared" si="3"/>
        <v>8.6551724137931031E-3</v>
      </c>
      <c r="J25" s="53"/>
      <c r="K25" s="53">
        <f>D25/D$8</f>
        <v>5.939759036144578E-3</v>
      </c>
      <c r="L25" s="53"/>
      <c r="M25" s="53">
        <f>F25/F$8</f>
        <v>8.8481012658227845E-3</v>
      </c>
      <c r="N25" s="53"/>
      <c r="O25" s="53">
        <f>H25/H$8</f>
        <v>7.2905797683067127E-3</v>
      </c>
    </row>
    <row r="26" spans="1:16" s="62" customFormat="1" ht="13.8" x14ac:dyDescent="0.25">
      <c r="A26" s="59" t="s">
        <v>16</v>
      </c>
      <c r="B26" s="60">
        <f>B18-B25</f>
        <v>10501.647827020191</v>
      </c>
      <c r="C26" s="60">
        <f t="shared" ref="C26" si="9">B26-D26</f>
        <v>585.7188090342388</v>
      </c>
      <c r="D26" s="60">
        <f>D18-D25</f>
        <v>9915.9290179859527</v>
      </c>
      <c r="E26" s="60">
        <f t="shared" si="2"/>
        <v>1384.7253434186277</v>
      </c>
      <c r="F26" s="60">
        <f>F18-F25</f>
        <v>8531.2036745673249</v>
      </c>
      <c r="G26" s="60">
        <f t="shared" si="2"/>
        <v>1310.2036745673249</v>
      </c>
      <c r="H26" s="60">
        <f>H18-H25</f>
        <v>7221</v>
      </c>
      <c r="I26" s="53">
        <f t="shared" si="3"/>
        <v>0.12070859571287576</v>
      </c>
      <c r="J26" s="53"/>
      <c r="K26" s="53">
        <f>D26/D$8</f>
        <v>0.11946902431308376</v>
      </c>
      <c r="L26" s="53"/>
      <c r="M26" s="53">
        <f>F26/F$8</f>
        <v>0.10798991993123196</v>
      </c>
      <c r="N26" s="53"/>
      <c r="O26" s="53">
        <f>H26/H$8</f>
        <v>9.6596837627417928E-2</v>
      </c>
    </row>
    <row r="27" spans="1:16" ht="13.8" x14ac:dyDescent="0.25">
      <c r="A27" s="49" t="s">
        <v>14</v>
      </c>
      <c r="B27" s="54">
        <f t="shared" ref="B27:F27" si="10">C27+D27</f>
        <v>4012</v>
      </c>
      <c r="C27" s="54">
        <v>381</v>
      </c>
      <c r="D27" s="54">
        <f t="shared" si="10"/>
        <v>3631</v>
      </c>
      <c r="E27" s="54">
        <v>549</v>
      </c>
      <c r="F27" s="54">
        <f t="shared" si="10"/>
        <v>3082</v>
      </c>
      <c r="G27" s="54">
        <v>396</v>
      </c>
      <c r="H27" s="54">
        <v>2686</v>
      </c>
      <c r="I27" s="53">
        <f t="shared" si="3"/>
        <v>4.6114942528735631E-2</v>
      </c>
      <c r="J27" s="53"/>
      <c r="K27" s="53">
        <f>D27/D$8</f>
        <v>4.3746987951807231E-2</v>
      </c>
      <c r="L27" s="53"/>
      <c r="M27" s="53">
        <f>F27/F$8</f>
        <v>3.90126582278481E-2</v>
      </c>
      <c r="N27" s="53"/>
      <c r="O27" s="53">
        <f>H27/H$8</f>
        <v>3.5931187628755655E-2</v>
      </c>
    </row>
    <row r="28" spans="1:16" s="62" customFormat="1" ht="13.8" x14ac:dyDescent="0.25">
      <c r="A28" s="55" t="s">
        <v>17</v>
      </c>
      <c r="B28" s="63">
        <f>B26-B27</f>
        <v>6489.6478270201915</v>
      </c>
      <c r="C28" s="63">
        <f t="shared" ref="C28" si="11">B28-D28</f>
        <v>204.7188090342388</v>
      </c>
      <c r="D28" s="63">
        <f>D26-D27</f>
        <v>6284.9290179859527</v>
      </c>
      <c r="E28" s="63">
        <f t="shared" si="2"/>
        <v>835.72534341862774</v>
      </c>
      <c r="F28" s="63">
        <f>F26-F27</f>
        <v>5449.2036745673249</v>
      </c>
      <c r="G28" s="63">
        <f t="shared" si="2"/>
        <v>914.20367456732492</v>
      </c>
      <c r="H28" s="63">
        <f>H26-H27</f>
        <v>4535</v>
      </c>
      <c r="I28" s="53">
        <f t="shared" si="3"/>
        <v>7.459365318414013E-2</v>
      </c>
      <c r="J28" s="53"/>
      <c r="K28" s="53">
        <f>D28/D$8</f>
        <v>7.5722036361276543E-2</v>
      </c>
      <c r="L28" s="53"/>
      <c r="M28" s="53">
        <f>F28/F$8</f>
        <v>6.8977261703383863E-2</v>
      </c>
      <c r="N28" s="53"/>
      <c r="O28" s="53">
        <f>H28/H$8</f>
        <v>6.066564999866228E-2</v>
      </c>
    </row>
    <row r="29" spans="1:16" s="66" customFormat="1" ht="21.6" hidden="1" customHeight="1" x14ac:dyDescent="0.25">
      <c r="A29" s="64"/>
      <c r="B29" s="65">
        <v>7009</v>
      </c>
      <c r="C29" s="65"/>
      <c r="D29" s="65">
        <v>6345</v>
      </c>
      <c r="E29" s="65"/>
      <c r="F29" s="65">
        <v>5385</v>
      </c>
      <c r="G29" s="65"/>
      <c r="H29" s="65">
        <v>4535</v>
      </c>
    </row>
    <row r="30" spans="1:16" s="69" customFormat="1" ht="13.8" x14ac:dyDescent="0.25">
      <c r="A30" s="67"/>
      <c r="B30" s="68"/>
      <c r="C30" s="68"/>
      <c r="D30" s="68"/>
      <c r="E30" s="68"/>
      <c r="F30" s="68"/>
      <c r="G30" s="68"/>
      <c r="H30" s="68"/>
    </row>
    <row r="31" spans="1:16" s="73" customFormat="1" ht="13.8" x14ac:dyDescent="0.25">
      <c r="A31" s="70"/>
      <c r="B31" s="71"/>
      <c r="C31" s="71"/>
      <c r="D31" s="71"/>
      <c r="E31" s="71"/>
      <c r="F31" s="71"/>
      <c r="G31" s="71"/>
      <c r="H31" s="71"/>
      <c r="I31" s="72"/>
      <c r="J31" s="72"/>
    </row>
    <row r="33" spans="1:8" s="57" customFormat="1" hidden="1" x14ac:dyDescent="0.25">
      <c r="A33" s="57" t="s">
        <v>236</v>
      </c>
      <c r="B33" s="74">
        <v>0.36403230196896835</v>
      </c>
      <c r="C33" s="74"/>
      <c r="D33" s="74">
        <v>0.36397353648757019</v>
      </c>
      <c r="E33" s="74"/>
      <c r="F33" s="74">
        <v>0.36400141726703672</v>
      </c>
      <c r="G33" s="74"/>
      <c r="H33" s="74">
        <v>0.37197064118543138</v>
      </c>
    </row>
    <row r="34" spans="1:8" hidden="1" x14ac:dyDescent="0.25">
      <c r="B34" s="53"/>
      <c r="C34" s="53"/>
      <c r="D34" s="53"/>
      <c r="E34" s="53"/>
      <c r="F34" s="53"/>
      <c r="G34" s="53"/>
      <c r="H34" s="53"/>
    </row>
    <row r="35" spans="1:8" hidden="1" x14ac:dyDescent="0.25"/>
    <row r="36" spans="1:8" hidden="1" x14ac:dyDescent="0.25">
      <c r="A36" s="75" t="s">
        <v>240</v>
      </c>
      <c r="B36" s="76">
        <f>B28-B29</f>
        <v>-519.35217297980853</v>
      </c>
      <c r="D36" s="76">
        <f>D28-D29</f>
        <v>-60.070982014047331</v>
      </c>
      <c r="F36" s="76">
        <f>F28-F29</f>
        <v>64.203674567324924</v>
      </c>
      <c r="H36" s="76">
        <f>H28-H29</f>
        <v>0</v>
      </c>
    </row>
    <row r="38" spans="1:8" ht="13.8" thickBot="1" x14ac:dyDescent="0.3">
      <c r="A38" s="57" t="s">
        <v>246</v>
      </c>
    </row>
    <row r="39" spans="1:8" ht="13.2" customHeight="1" x14ac:dyDescent="0.25">
      <c r="A39" s="280" t="s">
        <v>245</v>
      </c>
    </row>
    <row r="40" spans="1:8" hidden="1" x14ac:dyDescent="0.25">
      <c r="A40" s="281"/>
    </row>
    <row r="41" spans="1:8" hidden="1" x14ac:dyDescent="0.25">
      <c r="A41" s="281"/>
    </row>
    <row r="42" spans="1:8" hidden="1" x14ac:dyDescent="0.25">
      <c r="A42" s="281"/>
    </row>
    <row r="43" spans="1:8" hidden="1" x14ac:dyDescent="0.25">
      <c r="A43" s="281"/>
    </row>
    <row r="44" spans="1:8" hidden="1" x14ac:dyDescent="0.25">
      <c r="A44" s="281"/>
    </row>
    <row r="45" spans="1:8" hidden="1" x14ac:dyDescent="0.25">
      <c r="A45" s="281"/>
    </row>
    <row r="46" spans="1:8" hidden="1" x14ac:dyDescent="0.25">
      <c r="A46" s="281"/>
    </row>
    <row r="47" spans="1:8" hidden="1" x14ac:dyDescent="0.25">
      <c r="A47" s="281"/>
    </row>
    <row r="48" spans="1:8" hidden="1" x14ac:dyDescent="0.25">
      <c r="A48" s="281"/>
    </row>
    <row r="49" spans="1:1" hidden="1" x14ac:dyDescent="0.25">
      <c r="A49" s="281"/>
    </row>
    <row r="50" spans="1:1" hidden="1" x14ac:dyDescent="0.25">
      <c r="A50" s="281"/>
    </row>
    <row r="51" spans="1:1" hidden="1" x14ac:dyDescent="0.25">
      <c r="A51" s="281"/>
    </row>
    <row r="52" spans="1:1" hidden="1" x14ac:dyDescent="0.25">
      <c r="A52" s="281"/>
    </row>
    <row r="53" spans="1:1" hidden="1" x14ac:dyDescent="0.25">
      <c r="A53" s="281"/>
    </row>
    <row r="54" spans="1:1" hidden="1" x14ac:dyDescent="0.25">
      <c r="A54" s="281"/>
    </row>
    <row r="55" spans="1:1" hidden="1" x14ac:dyDescent="0.25">
      <c r="A55" s="281"/>
    </row>
    <row r="56" spans="1:1" hidden="1" x14ac:dyDescent="0.25">
      <c r="A56" s="281"/>
    </row>
    <row r="57" spans="1:1" hidden="1" x14ac:dyDescent="0.25">
      <c r="A57" s="281"/>
    </row>
    <row r="58" spans="1:1" hidden="1" x14ac:dyDescent="0.25">
      <c r="A58" s="281"/>
    </row>
    <row r="59" spans="1:1" hidden="1" x14ac:dyDescent="0.25">
      <c r="A59" s="281"/>
    </row>
    <row r="60" spans="1:1" hidden="1" x14ac:dyDescent="0.25">
      <c r="A60" s="281"/>
    </row>
    <row r="61" spans="1:1" hidden="1" x14ac:dyDescent="0.25">
      <c r="A61" s="281"/>
    </row>
  </sheetData>
  <sheetProtection algorithmName="SHA-512" hashValue="d7HOKNqcxlC28wfx8HXFNzGi08RYrtXb888kxQqN3HhpMyS3V4z7H3C5nfUR6zUA1y+mztMZscsNSXMZ6JfNVw==" saltValue="X51XNkpYTvnRZJCpNC558Q==" spinCount="100000" sheet="1" objects="1" scenarios="1"/>
  <mergeCells count="1">
    <mergeCell ref="A39:A61"/>
  </mergeCells>
  <printOptions horizontalCentered="1" verticalCentered="1" gridLines="1"/>
  <pageMargins left="0.75" right="0.75" top="1" bottom="1" header="0.5" footer="0.5"/>
  <pageSetup orientation="landscape" horizontalDpi="300" verticalDpi="300"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67"/>
  <sheetViews>
    <sheetView zoomScaleNormal="100" zoomScaleSheetLayoutView="100" workbookViewId="0"/>
  </sheetViews>
  <sheetFormatPr defaultColWidth="8.77734375" defaultRowHeight="13.2" x14ac:dyDescent="0.25"/>
  <cols>
    <col min="1" max="1" width="54.33203125" style="35" bestFit="1" customWidth="1"/>
    <col min="2" max="2" width="11" style="35" bestFit="1" customWidth="1"/>
    <col min="3" max="3" width="11" style="35" hidden="1" customWidth="1"/>
    <col min="4" max="4" width="11" style="35" bestFit="1" customWidth="1"/>
    <col min="5" max="5" width="11" style="35" hidden="1" customWidth="1"/>
    <col min="6" max="6" width="11" style="35" bestFit="1" customWidth="1"/>
    <col min="7" max="7" width="11" style="35" hidden="1" customWidth="1"/>
    <col min="8" max="8" width="11" style="35" bestFit="1" customWidth="1"/>
    <col min="9" max="16384" width="8.77734375" style="35"/>
  </cols>
  <sheetData>
    <row r="1" spans="1:9" x14ac:dyDescent="0.25">
      <c r="A1" s="47" t="str">
        <f>'1-Hist'!A1</f>
        <v>Peninsular Wholesale</v>
      </c>
    </row>
    <row r="2" spans="1:9" x14ac:dyDescent="0.25">
      <c r="A2" s="47" t="s">
        <v>130</v>
      </c>
    </row>
    <row r="3" spans="1:9" ht="13.8" x14ac:dyDescent="0.25">
      <c r="A3" s="47"/>
      <c r="B3" s="77"/>
      <c r="C3" s="77"/>
      <c r="D3" s="77"/>
      <c r="E3" s="77"/>
      <c r="F3" s="77"/>
      <c r="G3" s="77"/>
      <c r="H3" s="78"/>
    </row>
    <row r="4" spans="1:9" ht="13.8" x14ac:dyDescent="0.25">
      <c r="A4" s="48"/>
      <c r="B4" s="77"/>
      <c r="C4" s="77"/>
      <c r="D4" s="77"/>
      <c r="E4" s="77"/>
      <c r="F4" s="77"/>
      <c r="G4" s="77"/>
      <c r="H4" s="78"/>
    </row>
    <row r="5" spans="1:9" ht="13.8" x14ac:dyDescent="0.25">
      <c r="A5" s="49" t="s">
        <v>81</v>
      </c>
      <c r="B5" s="79"/>
      <c r="C5" s="79"/>
      <c r="D5" s="79"/>
      <c r="E5" s="79"/>
      <c r="F5" s="79"/>
      <c r="G5" s="79"/>
      <c r="H5" s="78"/>
    </row>
    <row r="6" spans="1:9" ht="13.8" x14ac:dyDescent="0.25">
      <c r="A6" s="80" t="s">
        <v>18</v>
      </c>
      <c r="B6" s="51">
        <f>'1-Hist'!B5</f>
        <v>42855</v>
      </c>
      <c r="C6" s="51"/>
      <c r="D6" s="51">
        <f>'1-Hist'!D5</f>
        <v>42490</v>
      </c>
      <c r="E6" s="51"/>
      <c r="F6" s="51">
        <f>'1-Hist'!F5</f>
        <v>42124</v>
      </c>
      <c r="G6" s="51"/>
      <c r="H6" s="51">
        <f>'1-Hist'!H5</f>
        <v>41759</v>
      </c>
    </row>
    <row r="7" spans="1:9" ht="13.8" x14ac:dyDescent="0.25">
      <c r="A7" s="79" t="s">
        <v>3</v>
      </c>
      <c r="B7" s="79"/>
      <c r="C7" s="79"/>
      <c r="D7" s="79"/>
      <c r="E7" s="79"/>
      <c r="F7" s="79"/>
      <c r="G7" s="79"/>
      <c r="H7" s="79"/>
    </row>
    <row r="8" spans="1:9" ht="13.8" x14ac:dyDescent="0.25">
      <c r="A8" s="81" t="s">
        <v>19</v>
      </c>
      <c r="B8" s="81"/>
      <c r="C8" s="81"/>
      <c r="D8" s="81"/>
      <c r="E8" s="81"/>
      <c r="F8" s="81"/>
      <c r="G8" s="81"/>
      <c r="H8" s="81"/>
    </row>
    <row r="9" spans="1:9" ht="13.8" x14ac:dyDescent="0.25">
      <c r="A9" s="82" t="s">
        <v>20</v>
      </c>
      <c r="B9" s="82"/>
      <c r="C9" s="82"/>
      <c r="D9" s="82"/>
      <c r="E9" s="82"/>
      <c r="F9" s="82"/>
      <c r="G9" s="82"/>
      <c r="H9" s="82"/>
    </row>
    <row r="10" spans="1:9" s="73" customFormat="1" ht="13.8" x14ac:dyDescent="0.25">
      <c r="A10" s="82" t="s">
        <v>21</v>
      </c>
      <c r="B10" s="83">
        <f>'4-SCF'!B47</f>
        <v>1701</v>
      </c>
      <c r="C10" s="83">
        <v>493</v>
      </c>
      <c r="D10" s="83">
        <f>+'4-SCF'!D47</f>
        <v>1727</v>
      </c>
      <c r="E10" s="83">
        <v>-206</v>
      </c>
      <c r="F10" s="83">
        <f>'4-SCF'!F47</f>
        <v>1993</v>
      </c>
      <c r="G10" s="83">
        <v>-565</v>
      </c>
      <c r="H10" s="83">
        <v>2494</v>
      </c>
      <c r="I10" s="83"/>
    </row>
    <row r="11" spans="1:9" ht="13.8" x14ac:dyDescent="0.25">
      <c r="A11" s="82" t="s">
        <v>22</v>
      </c>
      <c r="B11" s="84">
        <v>1890</v>
      </c>
      <c r="C11" s="83">
        <v>406</v>
      </c>
      <c r="D11" s="84">
        <v>1484</v>
      </c>
      <c r="E11" s="83">
        <v>86</v>
      </c>
      <c r="F11" s="84">
        <v>1398</v>
      </c>
      <c r="G11" s="83">
        <v>3</v>
      </c>
      <c r="H11" s="84">
        <v>1395</v>
      </c>
    </row>
    <row r="12" spans="1:9" ht="13.8" x14ac:dyDescent="0.25">
      <c r="A12" s="82" t="s">
        <v>36</v>
      </c>
      <c r="B12" s="84">
        <v>11809</v>
      </c>
      <c r="C12" s="83">
        <v>730</v>
      </c>
      <c r="D12" s="84">
        <v>11079</v>
      </c>
      <c r="E12" s="83">
        <v>22</v>
      </c>
      <c r="F12" s="84">
        <v>11057</v>
      </c>
      <c r="G12" s="83">
        <v>347</v>
      </c>
      <c r="H12" s="84">
        <v>10710</v>
      </c>
    </row>
    <row r="13" spans="1:9" ht="13.8" x14ac:dyDescent="0.25">
      <c r="A13" s="82" t="s">
        <v>37</v>
      </c>
      <c r="B13" s="84">
        <v>1078</v>
      </c>
      <c r="C13" s="83">
        <v>62</v>
      </c>
      <c r="D13" s="84">
        <v>1016</v>
      </c>
      <c r="E13" s="83">
        <v>121</v>
      </c>
      <c r="F13" s="84">
        <v>895</v>
      </c>
      <c r="G13" s="83">
        <v>122</v>
      </c>
      <c r="H13" s="84">
        <v>773</v>
      </c>
    </row>
    <row r="14" spans="1:9" ht="13.8" x14ac:dyDescent="0.25">
      <c r="A14" s="79" t="s">
        <v>3</v>
      </c>
      <c r="B14" s="85"/>
      <c r="C14" s="83">
        <v>0</v>
      </c>
      <c r="D14" s="85"/>
      <c r="E14" s="83">
        <v>0</v>
      </c>
      <c r="F14" s="85"/>
      <c r="G14" s="83">
        <v>0</v>
      </c>
      <c r="H14" s="85"/>
    </row>
    <row r="15" spans="1:9" s="57" customFormat="1" ht="13.8" x14ac:dyDescent="0.25">
      <c r="A15" s="86" t="s">
        <v>41</v>
      </c>
      <c r="B15" s="87">
        <f>SUM(B10:B13)</f>
        <v>16478</v>
      </c>
      <c r="C15" s="88">
        <f t="shared" ref="C15" si="0">B15-D15</f>
        <v>1172</v>
      </c>
      <c r="D15" s="87">
        <f>SUM(D10:D13)</f>
        <v>15306</v>
      </c>
      <c r="E15" s="88">
        <f t="shared" ref="E15:G23" si="1">D15-F15</f>
        <v>-37</v>
      </c>
      <c r="F15" s="87">
        <f>SUM(F10:F13)</f>
        <v>15343</v>
      </c>
      <c r="G15" s="88">
        <f t="shared" si="1"/>
        <v>-29</v>
      </c>
      <c r="H15" s="87">
        <f>SUM(H10:H13)</f>
        <v>15372</v>
      </c>
    </row>
    <row r="16" spans="1:9" ht="13.8" x14ac:dyDescent="0.25">
      <c r="A16" s="77"/>
      <c r="B16" s="81"/>
      <c r="C16" s="83"/>
      <c r="D16" s="81"/>
      <c r="E16" s="83"/>
      <c r="F16" s="81"/>
      <c r="G16" s="83"/>
      <c r="H16" s="81"/>
    </row>
    <row r="17" spans="1:9" ht="13.8" x14ac:dyDescent="0.25">
      <c r="A17" s="82" t="s">
        <v>38</v>
      </c>
      <c r="B17" s="84">
        <v>39266</v>
      </c>
      <c r="C17" s="83">
        <v>753</v>
      </c>
      <c r="D17" s="84">
        <v>38513</v>
      </c>
      <c r="E17" s="83">
        <v>-551</v>
      </c>
      <c r="F17" s="84">
        <v>39064</v>
      </c>
      <c r="G17" s="83">
        <v>573</v>
      </c>
      <c r="H17" s="84">
        <v>38491</v>
      </c>
    </row>
    <row r="18" spans="1:9" ht="13.8" x14ac:dyDescent="0.25">
      <c r="A18" s="82" t="s">
        <v>39</v>
      </c>
      <c r="B18" s="84">
        <v>17075</v>
      </c>
      <c r="C18" s="83">
        <v>1282</v>
      </c>
      <c r="D18" s="84">
        <v>15793</v>
      </c>
      <c r="E18" s="83">
        <v>77</v>
      </c>
      <c r="F18" s="84">
        <v>15716</v>
      </c>
      <c r="G18" s="83">
        <v>1294</v>
      </c>
      <c r="H18" s="84">
        <v>14422</v>
      </c>
    </row>
    <row r="19" spans="1:9" s="57" customFormat="1" ht="13.8" x14ac:dyDescent="0.25">
      <c r="A19" s="86" t="s">
        <v>40</v>
      </c>
      <c r="B19" s="87">
        <f>B17-B18</f>
        <v>22191</v>
      </c>
      <c r="C19" s="88">
        <f t="shared" ref="C19" si="2">B19-D19</f>
        <v>-529</v>
      </c>
      <c r="D19" s="87">
        <f>D17-D18</f>
        <v>22720</v>
      </c>
      <c r="E19" s="88">
        <f t="shared" si="1"/>
        <v>-628</v>
      </c>
      <c r="F19" s="87">
        <f>F17-F18</f>
        <v>23348</v>
      </c>
      <c r="G19" s="88">
        <f t="shared" si="1"/>
        <v>-721</v>
      </c>
      <c r="H19" s="87">
        <f>H17-H18</f>
        <v>24069</v>
      </c>
    </row>
    <row r="20" spans="1:9" ht="13.8" x14ac:dyDescent="0.25">
      <c r="A20" s="89"/>
      <c r="B20" s="68"/>
      <c r="C20" s="83"/>
      <c r="D20" s="68"/>
      <c r="E20" s="83"/>
      <c r="F20" s="68"/>
      <c r="G20" s="83"/>
      <c r="H20" s="68"/>
    </row>
    <row r="21" spans="1:9" ht="13.8" x14ac:dyDescent="0.25">
      <c r="A21" s="90" t="s">
        <v>24</v>
      </c>
      <c r="B21" s="84">
        <v>2102</v>
      </c>
      <c r="C21" s="83">
        <v>749</v>
      </c>
      <c r="D21" s="84">
        <v>1353</v>
      </c>
      <c r="E21" s="83">
        <v>64</v>
      </c>
      <c r="F21" s="84">
        <v>1289</v>
      </c>
      <c r="G21" s="83">
        <v>119</v>
      </c>
      <c r="H21" s="91">
        <v>1170</v>
      </c>
      <c r="I21" s="75"/>
    </row>
    <row r="22" spans="1:9" ht="13.8" x14ac:dyDescent="0.25">
      <c r="A22" s="92" t="s">
        <v>23</v>
      </c>
      <c r="B22" s="84">
        <v>1263</v>
      </c>
      <c r="C22" s="83">
        <v>692</v>
      </c>
      <c r="D22" s="84">
        <v>571</v>
      </c>
      <c r="E22" s="83">
        <v>-31</v>
      </c>
      <c r="F22" s="84">
        <v>602</v>
      </c>
      <c r="G22" s="83">
        <v>129</v>
      </c>
      <c r="H22" s="84">
        <v>473</v>
      </c>
    </row>
    <row r="23" spans="1:9" s="57" customFormat="1" ht="13.8" x14ac:dyDescent="0.25">
      <c r="A23" s="86" t="s">
        <v>25</v>
      </c>
      <c r="B23" s="88">
        <f>B15+B19+B21+B22</f>
        <v>42034</v>
      </c>
      <c r="C23" s="88">
        <f t="shared" ref="C23" si="3">B23-D23</f>
        <v>2084</v>
      </c>
      <c r="D23" s="88">
        <f>D15+D19+D21+D22</f>
        <v>39950</v>
      </c>
      <c r="E23" s="88">
        <f t="shared" si="1"/>
        <v>-632</v>
      </c>
      <c r="F23" s="88">
        <f>F15+F19+F21+F22</f>
        <v>40582</v>
      </c>
      <c r="G23" s="88">
        <f t="shared" si="1"/>
        <v>-502</v>
      </c>
      <c r="H23" s="88">
        <f>H15+H19+H21+H22</f>
        <v>41084</v>
      </c>
    </row>
    <row r="24" spans="1:9" ht="13.8" x14ac:dyDescent="0.25">
      <c r="A24" s="79" t="s">
        <v>3</v>
      </c>
      <c r="B24" s="85"/>
      <c r="C24" s="83"/>
      <c r="D24" s="85"/>
      <c r="E24" s="83"/>
      <c r="F24" s="85"/>
      <c r="G24" s="83"/>
      <c r="H24" s="85"/>
    </row>
    <row r="25" spans="1:9" ht="13.8" x14ac:dyDescent="0.25">
      <c r="A25" s="79" t="s">
        <v>3</v>
      </c>
      <c r="B25" s="85"/>
      <c r="C25" s="83"/>
      <c r="D25" s="85"/>
      <c r="E25" s="83"/>
      <c r="F25" s="85"/>
      <c r="G25" s="83"/>
      <c r="H25" s="85"/>
    </row>
    <row r="26" spans="1:9" ht="13.8" x14ac:dyDescent="0.25">
      <c r="A26" s="81" t="s">
        <v>26</v>
      </c>
      <c r="B26" s="81"/>
      <c r="C26" s="83"/>
      <c r="D26" s="81"/>
      <c r="E26" s="83"/>
      <c r="F26" s="81"/>
      <c r="G26" s="83"/>
      <c r="H26" s="81"/>
    </row>
    <row r="27" spans="1:9" ht="13.8" x14ac:dyDescent="0.25">
      <c r="A27" s="82" t="s">
        <v>27</v>
      </c>
      <c r="B27" s="85"/>
      <c r="C27" s="83"/>
      <c r="D27" s="85"/>
      <c r="E27" s="83"/>
      <c r="F27" s="85"/>
      <c r="G27" s="83"/>
      <c r="H27" s="85"/>
    </row>
    <row r="28" spans="1:9" ht="13.8" x14ac:dyDescent="0.25">
      <c r="A28" s="82" t="s">
        <v>83</v>
      </c>
      <c r="B28" s="83">
        <v>350</v>
      </c>
      <c r="C28" s="83">
        <v>60</v>
      </c>
      <c r="D28" s="83">
        <v>290</v>
      </c>
      <c r="E28" s="83">
        <v>290</v>
      </c>
      <c r="F28" s="83">
        <v>0</v>
      </c>
      <c r="G28" s="83">
        <v>0</v>
      </c>
      <c r="H28" s="83">
        <v>0</v>
      </c>
    </row>
    <row r="29" spans="1:9" ht="13.8" x14ac:dyDescent="0.25">
      <c r="A29" s="82" t="s">
        <v>28</v>
      </c>
      <c r="B29" s="84">
        <v>6565</v>
      </c>
      <c r="C29" s="83">
        <v>758</v>
      </c>
      <c r="D29" s="84">
        <v>5807</v>
      </c>
      <c r="E29" s="83">
        <v>10</v>
      </c>
      <c r="F29" s="84">
        <v>5797</v>
      </c>
      <c r="G29" s="83">
        <v>421</v>
      </c>
      <c r="H29" s="84">
        <v>5376</v>
      </c>
    </row>
    <row r="30" spans="1:9" ht="13.8" x14ac:dyDescent="0.25">
      <c r="A30" s="48" t="s">
        <v>42</v>
      </c>
      <c r="B30" s="84">
        <v>1515</v>
      </c>
      <c r="C30" s="83">
        <v>124</v>
      </c>
      <c r="D30" s="84">
        <v>1391</v>
      </c>
      <c r="E30" s="83">
        <v>-37</v>
      </c>
      <c r="F30" s="84">
        <v>1428</v>
      </c>
      <c r="G30" s="83">
        <v>14</v>
      </c>
      <c r="H30" s="84">
        <v>1414</v>
      </c>
    </row>
    <row r="31" spans="1:9" ht="13.8" x14ac:dyDescent="0.25">
      <c r="A31" s="82" t="s">
        <v>43</v>
      </c>
      <c r="B31" s="84">
        <v>476</v>
      </c>
      <c r="C31" s="83">
        <v>42</v>
      </c>
      <c r="D31" s="84">
        <v>434</v>
      </c>
      <c r="E31" s="83">
        <v>38</v>
      </c>
      <c r="F31" s="84">
        <v>396</v>
      </c>
      <c r="G31" s="83">
        <v>-76</v>
      </c>
      <c r="H31" s="84">
        <v>472</v>
      </c>
    </row>
    <row r="32" spans="1:9" ht="13.8" x14ac:dyDescent="0.25">
      <c r="A32" s="92" t="s">
        <v>29</v>
      </c>
      <c r="B32" s="84">
        <v>1566</v>
      </c>
      <c r="C32" s="83">
        <v>98</v>
      </c>
      <c r="D32" s="84">
        <v>1468</v>
      </c>
      <c r="E32" s="83">
        <v>131</v>
      </c>
      <c r="F32" s="84">
        <v>1337</v>
      </c>
      <c r="G32" s="83">
        <v>67</v>
      </c>
      <c r="H32" s="84">
        <v>1270</v>
      </c>
    </row>
    <row r="33" spans="1:8" s="75" customFormat="1" ht="13.8" x14ac:dyDescent="0.25">
      <c r="A33" s="90" t="s">
        <v>44</v>
      </c>
      <c r="B33" s="91">
        <v>34</v>
      </c>
      <c r="C33" s="93">
        <v>-1</v>
      </c>
      <c r="D33" s="91">
        <v>35</v>
      </c>
      <c r="E33" s="93">
        <v>23</v>
      </c>
      <c r="F33" s="91">
        <v>12</v>
      </c>
      <c r="G33" s="93">
        <v>-10</v>
      </c>
      <c r="H33" s="91">
        <v>22</v>
      </c>
    </row>
    <row r="34" spans="1:8" s="75" customFormat="1" ht="13.8" x14ac:dyDescent="0.25">
      <c r="A34" s="82" t="s">
        <v>45</v>
      </c>
      <c r="B34" s="84">
        <v>77</v>
      </c>
      <c r="C34" s="83">
        <v>39</v>
      </c>
      <c r="D34" s="84">
        <v>38</v>
      </c>
      <c r="E34" s="83">
        <v>5</v>
      </c>
      <c r="F34" s="84">
        <v>33</v>
      </c>
      <c r="G34" s="83">
        <v>-1288</v>
      </c>
      <c r="H34" s="84">
        <v>1321</v>
      </c>
    </row>
    <row r="35" spans="1:8" ht="13.8" x14ac:dyDescent="0.25">
      <c r="A35" s="82" t="s">
        <v>46</v>
      </c>
      <c r="B35" s="84">
        <v>1943</v>
      </c>
      <c r="C35" s="83">
        <v>137</v>
      </c>
      <c r="D35" s="84">
        <v>1806</v>
      </c>
      <c r="E35" s="83">
        <v>60</v>
      </c>
      <c r="F35" s="84">
        <v>1746</v>
      </c>
      <c r="G35" s="83">
        <v>159</v>
      </c>
      <c r="H35" s="84">
        <v>1587</v>
      </c>
    </row>
    <row r="36" spans="1:8" ht="13.8" x14ac:dyDescent="0.25">
      <c r="A36" s="82"/>
      <c r="B36" s="84"/>
      <c r="C36" s="83"/>
      <c r="D36" s="84"/>
      <c r="E36" s="83"/>
      <c r="F36" s="84"/>
      <c r="G36" s="83"/>
      <c r="H36" s="84"/>
    </row>
    <row r="37" spans="1:8" s="57" customFormat="1" ht="13.8" x14ac:dyDescent="0.25">
      <c r="A37" s="86" t="s">
        <v>241</v>
      </c>
      <c r="B37" s="87">
        <f>SUM(B28:B36)</f>
        <v>12526</v>
      </c>
      <c r="C37" s="87">
        <f t="shared" ref="C37:H37" si="4">SUM(C28:C36)</f>
        <v>1257</v>
      </c>
      <c r="D37" s="87">
        <f t="shared" si="4"/>
        <v>11269</v>
      </c>
      <c r="E37" s="87">
        <f t="shared" si="4"/>
        <v>520</v>
      </c>
      <c r="F37" s="87">
        <f t="shared" si="4"/>
        <v>10749</v>
      </c>
      <c r="G37" s="87">
        <f t="shared" si="4"/>
        <v>-713</v>
      </c>
      <c r="H37" s="87">
        <f t="shared" si="4"/>
        <v>11462</v>
      </c>
    </row>
    <row r="38" spans="1:8" ht="13.8" x14ac:dyDescent="0.25">
      <c r="A38" s="82"/>
      <c r="B38" s="84"/>
      <c r="C38" s="83"/>
      <c r="D38" s="84"/>
      <c r="E38" s="83"/>
      <c r="F38" s="84"/>
      <c r="G38" s="83"/>
      <c r="H38" s="84"/>
    </row>
    <row r="39" spans="1:8" ht="13.8" x14ac:dyDescent="0.25">
      <c r="A39" s="82" t="s">
        <v>242</v>
      </c>
      <c r="B39" s="84">
        <v>20888</v>
      </c>
      <c r="C39" s="83"/>
      <c r="D39" s="84">
        <v>16869</v>
      </c>
      <c r="E39" s="83"/>
      <c r="F39" s="84">
        <v>14691</v>
      </c>
      <c r="G39" s="83"/>
      <c r="H39" s="84">
        <v>9475</v>
      </c>
    </row>
    <row r="40" spans="1:8" ht="13.8" x14ac:dyDescent="0.25">
      <c r="A40" s="82" t="s">
        <v>30</v>
      </c>
      <c r="B40" s="84">
        <v>1965</v>
      </c>
      <c r="C40" s="83">
        <v>121</v>
      </c>
      <c r="D40" s="84">
        <v>1844</v>
      </c>
      <c r="E40" s="83">
        <v>-198</v>
      </c>
      <c r="F40" s="84">
        <v>2042</v>
      </c>
      <c r="G40" s="83">
        <v>-9</v>
      </c>
      <c r="H40" s="84">
        <v>2051</v>
      </c>
    </row>
    <row r="41" spans="1:8" ht="13.8" x14ac:dyDescent="0.25">
      <c r="A41" s="92" t="s">
        <v>47</v>
      </c>
      <c r="B41" s="84">
        <v>854</v>
      </c>
      <c r="C41" s="83">
        <v>212</v>
      </c>
      <c r="D41" s="84">
        <v>642</v>
      </c>
      <c r="E41" s="83">
        <v>128</v>
      </c>
      <c r="F41" s="84">
        <v>514</v>
      </c>
      <c r="G41" s="83">
        <v>195</v>
      </c>
      <c r="H41" s="84">
        <v>319</v>
      </c>
    </row>
    <row r="42" spans="1:8" s="57" customFormat="1" ht="13.8" x14ac:dyDescent="0.25">
      <c r="A42" s="86" t="s">
        <v>31</v>
      </c>
      <c r="B42" s="87">
        <f>SUM(B37:B41)</f>
        <v>36233</v>
      </c>
      <c r="C42" s="87">
        <f t="shared" ref="C42:H42" si="5">SUM(C37:C41)</f>
        <v>1590</v>
      </c>
      <c r="D42" s="87">
        <f t="shared" si="5"/>
        <v>30624</v>
      </c>
      <c r="E42" s="87">
        <f t="shared" si="5"/>
        <v>450</v>
      </c>
      <c r="F42" s="87">
        <f t="shared" si="5"/>
        <v>27996</v>
      </c>
      <c r="G42" s="87">
        <f t="shared" si="5"/>
        <v>-527</v>
      </c>
      <c r="H42" s="87">
        <f t="shared" si="5"/>
        <v>23307</v>
      </c>
    </row>
    <row r="43" spans="1:8" ht="13.8" x14ac:dyDescent="0.25">
      <c r="A43" s="77"/>
      <c r="B43" s="94"/>
      <c r="C43" s="83"/>
      <c r="D43" s="94"/>
      <c r="E43" s="83"/>
      <c r="F43" s="94"/>
      <c r="G43" s="83"/>
      <c r="H43" s="94"/>
    </row>
    <row r="44" spans="1:8" ht="13.8" x14ac:dyDescent="0.25">
      <c r="A44" s="82" t="s">
        <v>32</v>
      </c>
      <c r="B44" s="84"/>
      <c r="C44" s="83"/>
      <c r="D44" s="84"/>
      <c r="E44" s="83"/>
      <c r="F44" s="84"/>
      <c r="G44" s="83"/>
      <c r="H44" s="84"/>
    </row>
    <row r="45" spans="1:8" ht="13.8" x14ac:dyDescent="0.25">
      <c r="A45" s="82" t="s">
        <v>48</v>
      </c>
      <c r="B45" s="84">
        <v>88</v>
      </c>
      <c r="C45" s="83"/>
      <c r="D45" s="84">
        <v>88</v>
      </c>
      <c r="E45" s="83"/>
      <c r="F45" s="84">
        <v>88</v>
      </c>
      <c r="G45" s="83"/>
      <c r="H45" s="95">
        <v>88</v>
      </c>
    </row>
    <row r="46" spans="1:8" ht="13.8" x14ac:dyDescent="0.25">
      <c r="A46" s="82" t="s">
        <v>49</v>
      </c>
      <c r="B46" s="84">
        <v>9347</v>
      </c>
      <c r="C46" s="83">
        <v>462</v>
      </c>
      <c r="D46" s="84">
        <v>8885</v>
      </c>
      <c r="E46" s="83">
        <v>483</v>
      </c>
      <c r="F46" s="84">
        <v>8402</v>
      </c>
      <c r="G46" s="83">
        <v>454</v>
      </c>
      <c r="H46" s="95">
        <v>7948</v>
      </c>
    </row>
    <row r="47" spans="1:8" s="73" customFormat="1" ht="13.8" x14ac:dyDescent="0.25">
      <c r="A47" s="82" t="s">
        <v>33</v>
      </c>
      <c r="B47" s="84">
        <f>30973+'2-IS'!B36</f>
        <v>30453.647827020191</v>
      </c>
      <c r="C47" s="83"/>
      <c r="D47" s="84">
        <f>26995+'2-IS'!D36</f>
        <v>26934.929017985953</v>
      </c>
      <c r="E47" s="83"/>
      <c r="F47" s="84">
        <f>23180+'2-IS'!F36</f>
        <v>23244.203674567325</v>
      </c>
      <c r="G47" s="83"/>
      <c r="H47" s="95">
        <f>20038+'2-IS'!H36</f>
        <v>20038</v>
      </c>
    </row>
    <row r="48" spans="1:8" s="99" customFormat="1" ht="13.8" hidden="1" x14ac:dyDescent="0.25">
      <c r="A48" s="96" t="s">
        <v>79</v>
      </c>
      <c r="B48" s="97">
        <f>-898-'2-IS'!B36</f>
        <v>-378.64782702019147</v>
      </c>
      <c r="C48" s="98"/>
      <c r="D48" s="97">
        <f>-452-'2-IS'!D36</f>
        <v>-391.92901798595267</v>
      </c>
      <c r="E48" s="98"/>
      <c r="F48" s="97">
        <f>46-'2-IS'!F36</f>
        <v>-18.203674567324924</v>
      </c>
      <c r="G48" s="98"/>
      <c r="H48" s="97">
        <f>397-'2-IS'!H36</f>
        <v>397</v>
      </c>
    </row>
    <row r="49" spans="1:8" s="99" customFormat="1" ht="13.8" hidden="1" x14ac:dyDescent="0.25">
      <c r="A49" s="96" t="s">
        <v>244</v>
      </c>
      <c r="B49" s="97">
        <v>-515</v>
      </c>
      <c r="C49" s="98"/>
      <c r="D49" s="97">
        <v>4</v>
      </c>
      <c r="E49" s="98"/>
      <c r="F49" s="97">
        <v>64</v>
      </c>
      <c r="G49" s="98"/>
      <c r="H49" s="97">
        <v>0</v>
      </c>
    </row>
    <row r="50" spans="1:8" s="73" customFormat="1" ht="13.8" x14ac:dyDescent="0.25">
      <c r="A50" s="82" t="str">
        <f>A48</f>
        <v>Accumulated other comprehensive income (loss)</v>
      </c>
      <c r="B50" s="95">
        <f>B49+B48</f>
        <v>-893.64782702019147</v>
      </c>
      <c r="C50" s="100"/>
      <c r="D50" s="95">
        <f>D49+D48</f>
        <v>-387.92901798595267</v>
      </c>
      <c r="E50" s="100"/>
      <c r="F50" s="95">
        <f>F49+F48</f>
        <v>45.796325432675076</v>
      </c>
      <c r="G50" s="100"/>
      <c r="H50" s="95">
        <f>H49+H48</f>
        <v>397</v>
      </c>
    </row>
    <row r="51" spans="1:8" s="102" customFormat="1" ht="13.8" x14ac:dyDescent="0.25">
      <c r="A51" s="101" t="s">
        <v>50</v>
      </c>
      <c r="B51" s="95">
        <f>-33194</f>
        <v>-33194</v>
      </c>
      <c r="C51" s="100"/>
      <c r="D51" s="95">
        <f>-26194</f>
        <v>-26194</v>
      </c>
      <c r="E51" s="100"/>
      <c r="F51" s="95">
        <f>-19194</f>
        <v>-19194</v>
      </c>
      <c r="G51" s="100"/>
      <c r="H51" s="95">
        <f>-10694</f>
        <v>-10694</v>
      </c>
    </row>
    <row r="52" spans="1:8" s="57" customFormat="1" ht="13.8" x14ac:dyDescent="0.25">
      <c r="A52" s="86" t="s">
        <v>34</v>
      </c>
      <c r="B52" s="87">
        <f>SUM(B45:B51)-B50</f>
        <v>5801</v>
      </c>
      <c r="C52" s="88">
        <v>-3006</v>
      </c>
      <c r="D52" s="87">
        <f>SUM(D45:D51)-D50</f>
        <v>9326</v>
      </c>
      <c r="E52" s="88">
        <v>-3200</v>
      </c>
      <c r="F52" s="87">
        <f>SUM(F45:F51)-F50</f>
        <v>12586</v>
      </c>
      <c r="G52" s="88">
        <v>-5255</v>
      </c>
      <c r="H52" s="87">
        <f>SUM(H45:H51)-H50</f>
        <v>17777</v>
      </c>
    </row>
    <row r="53" spans="1:8" ht="13.8" x14ac:dyDescent="0.25">
      <c r="A53" s="92"/>
      <c r="B53" s="84"/>
      <c r="C53" s="83"/>
      <c r="D53" s="84"/>
      <c r="E53" s="83"/>
      <c r="F53" s="84"/>
      <c r="G53" s="83"/>
      <c r="H53" s="84"/>
    </row>
    <row r="54" spans="1:8" s="57" customFormat="1" ht="13.8" x14ac:dyDescent="0.25">
      <c r="A54" s="86" t="s">
        <v>35</v>
      </c>
      <c r="B54" s="88">
        <f t="shared" ref="B54:H54" si="6">B52+B42</f>
        <v>42034</v>
      </c>
      <c r="C54" s="88">
        <f t="shared" si="6"/>
        <v>-1416</v>
      </c>
      <c r="D54" s="88">
        <f t="shared" si="6"/>
        <v>39950</v>
      </c>
      <c r="E54" s="88">
        <f t="shared" si="6"/>
        <v>-2750</v>
      </c>
      <c r="F54" s="88">
        <f t="shared" si="6"/>
        <v>40582</v>
      </c>
      <c r="G54" s="88">
        <f t="shared" si="6"/>
        <v>-5782</v>
      </c>
      <c r="H54" s="88">
        <f t="shared" si="6"/>
        <v>41084</v>
      </c>
    </row>
    <row r="55" spans="1:8" x14ac:dyDescent="0.25">
      <c r="B55" s="103"/>
      <c r="C55" s="103"/>
    </row>
    <row r="56" spans="1:8" hidden="1" x14ac:dyDescent="0.25">
      <c r="B56" s="76">
        <f>B23-B54</f>
        <v>0</v>
      </c>
      <c r="D56" s="76">
        <f>D23-D54</f>
        <v>0</v>
      </c>
      <c r="F56" s="76">
        <f>F23-F54</f>
        <v>0</v>
      </c>
      <c r="H56" s="76">
        <f>H23-H54</f>
        <v>0</v>
      </c>
    </row>
    <row r="57" spans="1:8" s="104" customFormat="1" hidden="1" x14ac:dyDescent="0.25">
      <c r="B57" s="104" t="str">
        <f>IF(B54=B23,"","OUT OF BALANCE")</f>
        <v/>
      </c>
      <c r="D57" s="104" t="str">
        <f>IF(D54=D23,"","OUT OF BALANCE")</f>
        <v/>
      </c>
      <c r="F57" s="104" t="str">
        <f>IF(F54=F23,"","OUT OF BALANCE")</f>
        <v/>
      </c>
      <c r="H57" s="104" t="str">
        <f>IF(H54=H23,"","OUT OF BALANCE")</f>
        <v/>
      </c>
    </row>
    <row r="59" spans="1:8" ht="13.8" thickBot="1" x14ac:dyDescent="0.3">
      <c r="A59" s="57" t="s">
        <v>246</v>
      </c>
    </row>
    <row r="60" spans="1:8" ht="13.2" customHeight="1" x14ac:dyDescent="0.25">
      <c r="A60" s="282" t="s">
        <v>247</v>
      </c>
    </row>
    <row r="61" spans="1:8" hidden="1" x14ac:dyDescent="0.25">
      <c r="A61" s="283"/>
    </row>
    <row r="62" spans="1:8" hidden="1" x14ac:dyDescent="0.25">
      <c r="A62" s="283"/>
    </row>
    <row r="63" spans="1:8" hidden="1" x14ac:dyDescent="0.25">
      <c r="A63" s="283"/>
    </row>
    <row r="64" spans="1:8" hidden="1" x14ac:dyDescent="0.25">
      <c r="A64" s="283"/>
    </row>
    <row r="65" spans="1:1" hidden="1" x14ac:dyDescent="0.25">
      <c r="A65" s="283"/>
    </row>
    <row r="66" spans="1:1" hidden="1" x14ac:dyDescent="0.25">
      <c r="A66" s="283"/>
    </row>
    <row r="67" spans="1:1" ht="13.8" hidden="1" thickBot="1" x14ac:dyDescent="0.3">
      <c r="A67" s="284"/>
    </row>
  </sheetData>
  <sheetProtection algorithmName="SHA-512" hashValue="jKwW6aFhtvhvTqqp/OLe1Qu2ETOI73HuIfA3MnW5eD8dRsQzz5JAp4oTHJdkSqD8HvlfubnYdfKyy1lNGp3fBg==" saltValue="YxDwBmOARnXMGbycrFzJNw==" spinCount="100000" sheet="1" objects="1" scenarios="1"/>
  <mergeCells count="1">
    <mergeCell ref="A60:A67"/>
  </mergeCells>
  <printOptions horizontalCentered="1" verticalCentered="1" gridLines="1"/>
  <pageMargins left="0.7" right="0.7" top="0.75" bottom="0.75" header="0.3" footer="0.3"/>
  <pageSetup scale="93" orientation="portrait" horizontalDpi="4294967293" verticalDpi="4294967293"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82"/>
  <sheetViews>
    <sheetView zoomScaleNormal="100" zoomScaleSheetLayoutView="100" workbookViewId="0"/>
  </sheetViews>
  <sheetFormatPr defaultColWidth="8.77734375" defaultRowHeight="13.2" x14ac:dyDescent="0.25"/>
  <cols>
    <col min="1" max="1" width="74.77734375" style="35" bestFit="1" customWidth="1"/>
    <col min="2" max="2" width="11" style="35" bestFit="1" customWidth="1"/>
    <col min="3" max="3" width="11" style="35" hidden="1" customWidth="1"/>
    <col min="4" max="4" width="11" style="35" bestFit="1" customWidth="1"/>
    <col min="5" max="5" width="11" style="35" hidden="1" customWidth="1"/>
    <col min="6" max="6" width="11" style="35" bestFit="1" customWidth="1"/>
    <col min="7" max="7" width="11" style="35" hidden="1" customWidth="1"/>
    <col min="8" max="8" width="11" style="35" bestFit="1" customWidth="1"/>
    <col min="9" max="9" width="13.21875" style="35" customWidth="1"/>
    <col min="10" max="16384" width="8.77734375" style="35"/>
  </cols>
  <sheetData>
    <row r="1" spans="1:13" ht="13.8" x14ac:dyDescent="0.25">
      <c r="A1" s="47" t="str">
        <f>'1-Hist'!A1</f>
        <v>Peninsular Wholesale</v>
      </c>
      <c r="B1" s="218" t="s">
        <v>253</v>
      </c>
      <c r="C1" s="105"/>
      <c r="D1" s="105"/>
      <c r="E1" s="105"/>
      <c r="F1" s="105"/>
      <c r="G1" s="105"/>
      <c r="H1" s="106"/>
      <c r="I1" s="219"/>
      <c r="J1" s="221"/>
      <c r="K1" s="221"/>
      <c r="L1" s="221"/>
      <c r="M1" s="221"/>
    </row>
    <row r="2" spans="1:13" ht="13.8" x14ac:dyDescent="0.25">
      <c r="A2" s="47" t="s">
        <v>131</v>
      </c>
      <c r="B2" s="220" t="s">
        <v>148</v>
      </c>
      <c r="C2" s="105"/>
      <c r="D2" s="105"/>
      <c r="E2" s="105"/>
      <c r="F2" s="105"/>
      <c r="G2" s="105"/>
      <c r="H2" s="106"/>
      <c r="I2" s="219"/>
      <c r="J2" s="221"/>
      <c r="K2" s="221"/>
      <c r="L2" s="221"/>
      <c r="M2" s="221"/>
    </row>
    <row r="3" spans="1:13" ht="13.8" x14ac:dyDescent="0.25">
      <c r="A3" s="47"/>
      <c r="B3" s="220" t="s">
        <v>149</v>
      </c>
      <c r="C3" s="105"/>
      <c r="D3" s="105"/>
      <c r="E3" s="105"/>
      <c r="F3" s="105"/>
      <c r="G3" s="105"/>
      <c r="H3" s="106"/>
      <c r="I3" s="219"/>
      <c r="J3" s="221"/>
      <c r="K3" s="221"/>
      <c r="L3" s="221"/>
      <c r="M3" s="221"/>
    </row>
    <row r="4" spans="1:13" ht="13.8" x14ac:dyDescent="0.25">
      <c r="A4" s="48"/>
      <c r="B4" s="50"/>
      <c r="C4" s="50"/>
      <c r="D4" s="50"/>
      <c r="E4" s="50"/>
      <c r="F4" s="50"/>
      <c r="G4" s="50"/>
      <c r="H4" s="78"/>
    </row>
    <row r="5" spans="1:13" ht="13.8" x14ac:dyDescent="0.25">
      <c r="A5" s="49" t="s">
        <v>81</v>
      </c>
      <c r="B5" s="50"/>
      <c r="C5" s="50"/>
      <c r="D5" s="50"/>
      <c r="E5" s="50"/>
      <c r="F5" s="50"/>
      <c r="G5" s="50"/>
      <c r="H5" s="78"/>
    </row>
    <row r="6" spans="1:13" ht="13.8" x14ac:dyDescent="0.25">
      <c r="A6" s="49"/>
      <c r="B6" s="50"/>
      <c r="C6" s="50"/>
      <c r="D6" s="50"/>
      <c r="E6" s="50"/>
      <c r="F6" s="50"/>
      <c r="G6" s="50"/>
      <c r="H6" s="78"/>
    </row>
    <row r="7" spans="1:13" ht="13.8" x14ac:dyDescent="0.25">
      <c r="A7" s="49" t="s">
        <v>132</v>
      </c>
      <c r="B7" s="51">
        <f>'1-Hist'!B5</f>
        <v>42855</v>
      </c>
      <c r="C7" s="51"/>
      <c r="D7" s="51">
        <f>'1-Hist'!D5</f>
        <v>42490</v>
      </c>
      <c r="E7" s="51"/>
      <c r="F7" s="51">
        <f>'1-Hist'!F5</f>
        <v>42124</v>
      </c>
      <c r="G7" s="51"/>
      <c r="H7" s="51">
        <f>'1-Hist'!H5</f>
        <v>41759</v>
      </c>
    </row>
    <row r="8" spans="1:13" ht="13.8" x14ac:dyDescent="0.25">
      <c r="A8" s="77" t="s">
        <v>51</v>
      </c>
      <c r="B8" s="81"/>
      <c r="C8" s="81"/>
      <c r="D8" s="81"/>
      <c r="E8" s="81"/>
      <c r="F8" s="81"/>
      <c r="G8" s="81"/>
      <c r="H8" s="81"/>
    </row>
    <row r="9" spans="1:13" s="107" customFormat="1" ht="13.8" x14ac:dyDescent="0.25">
      <c r="A9" s="90" t="s">
        <v>62</v>
      </c>
      <c r="B9" s="93">
        <f>'2-IS'!B28</f>
        <v>6489.6478270201915</v>
      </c>
      <c r="C9" s="93"/>
      <c r="D9" s="93">
        <f>'2-IS'!D28</f>
        <v>6284.9290179859527</v>
      </c>
      <c r="E9" s="93"/>
      <c r="F9" s="93">
        <f>'2-IS'!F28</f>
        <v>5449.2036745673249</v>
      </c>
      <c r="G9" s="93"/>
      <c r="H9" s="93">
        <f>'2-IS'!H28</f>
        <v>4535</v>
      </c>
    </row>
    <row r="10" spans="1:13" ht="13.8" x14ac:dyDescent="0.25">
      <c r="A10" s="82" t="s">
        <v>52</v>
      </c>
      <c r="B10" s="85"/>
      <c r="C10" s="85"/>
      <c r="D10" s="85"/>
      <c r="E10" s="85"/>
      <c r="F10" s="85"/>
      <c r="G10" s="85"/>
      <c r="H10" s="85"/>
    </row>
    <row r="11" spans="1:13" ht="13.8" x14ac:dyDescent="0.25">
      <c r="A11" s="82" t="s">
        <v>53</v>
      </c>
      <c r="B11" s="108">
        <v>1863</v>
      </c>
      <c r="C11" s="108"/>
      <c r="D11" s="108">
        <v>1786</v>
      </c>
      <c r="E11" s="108"/>
      <c r="F11" s="108">
        <v>1757</v>
      </c>
      <c r="G11" s="108"/>
      <c r="H11" s="108">
        <v>1684</v>
      </c>
    </row>
    <row r="12" spans="1:13" ht="13.8" x14ac:dyDescent="0.25">
      <c r="A12" s="82" t="s">
        <v>63</v>
      </c>
      <c r="B12" s="108">
        <v>244</v>
      </c>
      <c r="C12" s="108"/>
      <c r="D12" s="108">
        <v>225</v>
      </c>
      <c r="E12" s="108"/>
      <c r="F12" s="108">
        <v>228</v>
      </c>
      <c r="G12" s="108"/>
      <c r="H12" s="108">
        <v>218</v>
      </c>
    </row>
    <row r="13" spans="1:13" ht="13.8" x14ac:dyDescent="0.25">
      <c r="A13" s="82" t="s">
        <v>120</v>
      </c>
      <c r="B13" s="108">
        <v>-144</v>
      </c>
      <c r="C13" s="108"/>
      <c r="D13" s="108">
        <v>-323</v>
      </c>
      <c r="E13" s="108"/>
      <c r="F13" s="108">
        <v>0</v>
      </c>
      <c r="G13" s="108"/>
      <c r="H13" s="108">
        <v>97</v>
      </c>
    </row>
    <row r="14" spans="1:13" ht="13.8" x14ac:dyDescent="0.25">
      <c r="A14" s="82" t="s">
        <v>64</v>
      </c>
      <c r="B14" s="108"/>
      <c r="C14" s="108"/>
      <c r="D14" s="108"/>
      <c r="E14" s="108"/>
      <c r="F14" s="108"/>
      <c r="G14" s="108"/>
      <c r="H14" s="108"/>
    </row>
    <row r="15" spans="1:13" ht="13.8" x14ac:dyDescent="0.25">
      <c r="A15" s="82" t="s">
        <v>65</v>
      </c>
      <c r="B15" s="108">
        <v>-181</v>
      </c>
      <c r="C15" s="108"/>
      <c r="D15" s="108">
        <v>-81</v>
      </c>
      <c r="E15" s="108"/>
      <c r="F15" s="108">
        <v>-15</v>
      </c>
      <c r="G15" s="108"/>
      <c r="H15" s="108">
        <v>-143</v>
      </c>
    </row>
    <row r="16" spans="1:13" ht="13.8" x14ac:dyDescent="0.25">
      <c r="A16" s="82" t="s">
        <v>66</v>
      </c>
      <c r="B16" s="108">
        <v>-546</v>
      </c>
      <c r="C16" s="108"/>
      <c r="D16" s="108">
        <v>-124</v>
      </c>
      <c r="E16" s="108"/>
      <c r="F16" s="108">
        <v>-455</v>
      </c>
      <c r="G16" s="108"/>
      <c r="H16" s="108">
        <v>-350</v>
      </c>
    </row>
    <row r="17" spans="1:8" ht="13.8" x14ac:dyDescent="0.25">
      <c r="A17" s="82" t="s">
        <v>37</v>
      </c>
      <c r="B17" s="108">
        <v>-5</v>
      </c>
      <c r="C17" s="108"/>
      <c r="D17" s="108">
        <v>-199</v>
      </c>
      <c r="E17" s="108"/>
      <c r="F17" s="108">
        <v>-5</v>
      </c>
      <c r="G17" s="108"/>
      <c r="H17" s="108">
        <v>93</v>
      </c>
    </row>
    <row r="18" spans="1:8" ht="13.8" x14ac:dyDescent="0.25">
      <c r="A18" s="82" t="s">
        <v>67</v>
      </c>
      <c r="B18" s="108">
        <v>888</v>
      </c>
      <c r="C18" s="108"/>
      <c r="D18" s="108">
        <v>244</v>
      </c>
      <c r="E18" s="108"/>
      <c r="F18" s="108">
        <v>605</v>
      </c>
      <c r="G18" s="108"/>
      <c r="H18" s="108">
        <v>698</v>
      </c>
    </row>
    <row r="19" spans="1:8" ht="13.8" x14ac:dyDescent="0.25">
      <c r="A19" s="82" t="s">
        <v>29</v>
      </c>
      <c r="B19" s="108">
        <v>109</v>
      </c>
      <c r="C19" s="108"/>
      <c r="D19" s="108">
        <v>146</v>
      </c>
      <c r="E19" s="108"/>
      <c r="F19" s="108">
        <v>75</v>
      </c>
      <c r="G19" s="108"/>
      <c r="H19" s="108">
        <v>121</v>
      </c>
    </row>
    <row r="20" spans="1:8" ht="13.8" x14ac:dyDescent="0.25">
      <c r="A20" s="82" t="s">
        <v>44</v>
      </c>
      <c r="B20" s="108">
        <v>154</v>
      </c>
      <c r="C20" s="108"/>
      <c r="D20" s="108">
        <v>168</v>
      </c>
      <c r="E20" s="108"/>
      <c r="F20" s="108">
        <v>119</v>
      </c>
      <c r="G20" s="108"/>
      <c r="H20" s="108">
        <v>87</v>
      </c>
    </row>
    <row r="21" spans="1:8" ht="13.8" x14ac:dyDescent="0.25">
      <c r="A21" s="82" t="s">
        <v>47</v>
      </c>
      <c r="B21" s="108">
        <v>15</v>
      </c>
      <c r="C21" s="108"/>
      <c r="D21" s="108">
        <v>159</v>
      </c>
      <c r="E21" s="108"/>
      <c r="F21" s="108">
        <v>-31</v>
      </c>
      <c r="G21" s="108"/>
      <c r="H21" s="108">
        <v>107</v>
      </c>
    </row>
    <row r="22" spans="1:8" ht="13.8" x14ac:dyDescent="0.25">
      <c r="A22" s="82" t="s">
        <v>12</v>
      </c>
      <c r="B22" s="108">
        <v>-33</v>
      </c>
      <c r="C22" s="108"/>
      <c r="D22" s="108">
        <v>-104</v>
      </c>
      <c r="E22" s="108"/>
      <c r="F22" s="108">
        <v>-35</v>
      </c>
      <c r="G22" s="108"/>
      <c r="H22" s="108">
        <v>-172</v>
      </c>
    </row>
    <row r="23" spans="1:8" ht="13.8" x14ac:dyDescent="0.25">
      <c r="A23" s="79"/>
      <c r="B23" s="85"/>
      <c r="C23" s="85"/>
      <c r="D23" s="85"/>
      <c r="E23" s="85"/>
      <c r="F23" s="85"/>
      <c r="G23" s="85"/>
      <c r="H23" s="85"/>
    </row>
    <row r="24" spans="1:8" s="62" customFormat="1" ht="13.8" x14ac:dyDescent="0.25">
      <c r="A24" s="86" t="s">
        <v>54</v>
      </c>
      <c r="B24" s="88">
        <f>SUM(B9:B22)</f>
        <v>8853.6478270201915</v>
      </c>
      <c r="C24" s="88"/>
      <c r="D24" s="88">
        <f>SUM(D9:D22)</f>
        <v>8181.9290179859527</v>
      </c>
      <c r="E24" s="88"/>
      <c r="F24" s="88">
        <f>SUM(F9:F22)</f>
        <v>7692.2036745673249</v>
      </c>
      <c r="G24" s="88"/>
      <c r="H24" s="88">
        <f>SUM(H9:H22)</f>
        <v>6975</v>
      </c>
    </row>
    <row r="25" spans="1:8" ht="13.8" x14ac:dyDescent="0.25">
      <c r="A25" s="77" t="s">
        <v>55</v>
      </c>
      <c r="B25" s="81"/>
      <c r="C25" s="81"/>
      <c r="D25" s="81"/>
      <c r="E25" s="81"/>
      <c r="F25" s="81"/>
      <c r="G25" s="81"/>
      <c r="H25" s="81"/>
    </row>
    <row r="26" spans="1:8" ht="13.8" x14ac:dyDescent="0.25">
      <c r="A26" s="82" t="s">
        <v>68</v>
      </c>
      <c r="B26" s="108">
        <v>-1503</v>
      </c>
      <c r="C26" s="108"/>
      <c r="D26" s="108">
        <v>-1442</v>
      </c>
      <c r="E26" s="108"/>
      <c r="F26" s="108">
        <v>-1389</v>
      </c>
      <c r="G26" s="108"/>
      <c r="H26" s="108">
        <v>-1312</v>
      </c>
    </row>
    <row r="27" spans="1:8" ht="13.8" x14ac:dyDescent="0.25">
      <c r="A27" s="82" t="s">
        <v>84</v>
      </c>
      <c r="B27" s="108">
        <v>144</v>
      </c>
      <c r="C27" s="108"/>
      <c r="D27" s="108">
        <v>323</v>
      </c>
      <c r="E27" s="108"/>
      <c r="F27" s="108">
        <v>0</v>
      </c>
      <c r="G27" s="108"/>
      <c r="H27" s="108">
        <v>0</v>
      </c>
    </row>
    <row r="28" spans="1:8" ht="13.8" x14ac:dyDescent="0.25">
      <c r="A28" s="82" t="s">
        <v>85</v>
      </c>
      <c r="B28" s="108">
        <v>-1666</v>
      </c>
      <c r="C28" s="108"/>
      <c r="D28" s="108">
        <v>-200</v>
      </c>
      <c r="E28" s="108"/>
      <c r="F28" s="108">
        <v>-206</v>
      </c>
      <c r="G28" s="108"/>
      <c r="H28" s="108">
        <v>-170</v>
      </c>
    </row>
    <row r="29" spans="1:8" ht="13.8" x14ac:dyDescent="0.25">
      <c r="A29" s="82" t="s">
        <v>82</v>
      </c>
      <c r="B29" s="108">
        <v>43</v>
      </c>
      <c r="C29" s="108"/>
      <c r="D29" s="108">
        <v>48</v>
      </c>
      <c r="E29" s="108"/>
      <c r="F29" s="108">
        <v>88</v>
      </c>
      <c r="G29" s="108"/>
      <c r="H29" s="108">
        <v>50</v>
      </c>
    </row>
    <row r="30" spans="1:8" ht="13.8" x14ac:dyDescent="0.25">
      <c r="A30" s="79"/>
      <c r="B30" s="95"/>
      <c r="C30" s="95"/>
      <c r="D30" s="95"/>
      <c r="E30" s="95"/>
      <c r="F30" s="95"/>
      <c r="G30" s="95"/>
      <c r="H30" s="95"/>
    </row>
    <row r="31" spans="1:8" s="62" customFormat="1" ht="13.8" x14ac:dyDescent="0.25">
      <c r="A31" s="86" t="s">
        <v>56</v>
      </c>
      <c r="B31" s="109">
        <f>SUM(B26:B29)</f>
        <v>-2982</v>
      </c>
      <c r="C31" s="109"/>
      <c r="D31" s="109">
        <f>SUM(D26:D29)</f>
        <v>-1271</v>
      </c>
      <c r="E31" s="109"/>
      <c r="F31" s="109">
        <f>SUM(F26:F29)</f>
        <v>-1507</v>
      </c>
      <c r="G31" s="109"/>
      <c r="H31" s="109">
        <f>SUM(H26:H29)</f>
        <v>-1432</v>
      </c>
    </row>
    <row r="32" spans="1:8" ht="13.8" x14ac:dyDescent="0.25">
      <c r="A32" s="77" t="s">
        <v>57</v>
      </c>
      <c r="B32" s="81"/>
      <c r="C32" s="81"/>
      <c r="D32" s="81"/>
      <c r="E32" s="81"/>
      <c r="F32" s="81"/>
      <c r="G32" s="81"/>
      <c r="H32" s="81"/>
    </row>
    <row r="33" spans="1:9" ht="13.8" x14ac:dyDescent="0.25">
      <c r="A33" s="90" t="s">
        <v>86</v>
      </c>
      <c r="B33" s="110">
        <v>60</v>
      </c>
      <c r="C33" s="110"/>
      <c r="D33" s="110">
        <v>290</v>
      </c>
      <c r="E33" s="110"/>
      <c r="F33" s="108">
        <v>0</v>
      </c>
      <c r="G33" s="108"/>
      <c r="H33" s="110">
        <v>0</v>
      </c>
    </row>
    <row r="34" spans="1:9" ht="13.8" x14ac:dyDescent="0.25">
      <c r="A34" s="82" t="s">
        <v>69</v>
      </c>
      <c r="B34" s="108">
        <v>3991</v>
      </c>
      <c r="C34" s="108"/>
      <c r="D34" s="108">
        <v>1981</v>
      </c>
      <c r="E34" s="108"/>
      <c r="F34" s="108">
        <v>5222</v>
      </c>
      <c r="G34" s="108"/>
      <c r="H34" s="108">
        <v>0</v>
      </c>
    </row>
    <row r="35" spans="1:9" ht="13.8" x14ac:dyDescent="0.25">
      <c r="A35" s="82" t="s">
        <v>70</v>
      </c>
      <c r="B35" s="108">
        <v>-39</v>
      </c>
      <c r="C35" s="108"/>
      <c r="D35" s="108">
        <v>-39</v>
      </c>
      <c r="E35" s="108"/>
      <c r="F35" s="108">
        <v>-1289</v>
      </c>
      <c r="G35" s="108"/>
      <c r="H35" s="108">
        <v>-32</v>
      </c>
    </row>
    <row r="36" spans="1:9" ht="13.8" x14ac:dyDescent="0.25">
      <c r="A36" s="82" t="s">
        <v>71</v>
      </c>
      <c r="B36" s="108">
        <v>-7000</v>
      </c>
      <c r="C36" s="108"/>
      <c r="D36" s="108">
        <v>-7000</v>
      </c>
      <c r="E36" s="108"/>
      <c r="F36" s="108">
        <v>-8546</v>
      </c>
      <c r="G36" s="108"/>
      <c r="H36" s="108">
        <v>-3984</v>
      </c>
    </row>
    <row r="37" spans="1:9" ht="13.8" x14ac:dyDescent="0.25">
      <c r="A37" s="82" t="s">
        <v>72</v>
      </c>
      <c r="B37" s="108">
        <v>228</v>
      </c>
      <c r="C37" s="108"/>
      <c r="D37" s="108">
        <v>252</v>
      </c>
      <c r="E37" s="108"/>
      <c r="F37" s="108">
        <v>241</v>
      </c>
      <c r="G37" s="108"/>
      <c r="H37" s="108">
        <v>784</v>
      </c>
    </row>
    <row r="38" spans="1:9" ht="13.8" x14ac:dyDescent="0.25">
      <c r="A38" s="82" t="s">
        <v>73</v>
      </c>
      <c r="B38" s="108">
        <v>-3031</v>
      </c>
      <c r="C38" s="108"/>
      <c r="D38" s="108">
        <v>-2530</v>
      </c>
      <c r="E38" s="108"/>
      <c r="F38" s="108">
        <v>-2243</v>
      </c>
      <c r="G38" s="108"/>
      <c r="H38" s="108">
        <v>-1743</v>
      </c>
    </row>
    <row r="39" spans="1:9" ht="13.8" x14ac:dyDescent="0.25">
      <c r="A39" s="82" t="s">
        <v>74</v>
      </c>
      <c r="B39" s="108">
        <v>4</v>
      </c>
      <c r="C39" s="108"/>
      <c r="D39" s="108">
        <v>-25</v>
      </c>
      <c r="E39" s="108"/>
      <c r="F39" s="108">
        <v>-37</v>
      </c>
      <c r="G39" s="108"/>
      <c r="H39" s="108">
        <v>-59</v>
      </c>
    </row>
    <row r="40" spans="1:9" ht="13.8" x14ac:dyDescent="0.25">
      <c r="A40" s="79" t="s">
        <v>3</v>
      </c>
      <c r="B40" s="85"/>
      <c r="C40" s="85"/>
      <c r="D40" s="85"/>
      <c r="E40" s="85"/>
      <c r="F40" s="85"/>
      <c r="G40" s="85"/>
      <c r="H40" s="85"/>
    </row>
    <row r="41" spans="1:9" s="62" customFormat="1" ht="13.8" x14ac:dyDescent="0.25">
      <c r="A41" s="86" t="s">
        <v>58</v>
      </c>
      <c r="B41" s="109">
        <f>SUM(B33:B39)</f>
        <v>-5787</v>
      </c>
      <c r="C41" s="109"/>
      <c r="D41" s="109">
        <f>SUM(D33:D39)</f>
        <v>-7071</v>
      </c>
      <c r="E41" s="109"/>
      <c r="F41" s="109">
        <f>SUM(F33:F39)</f>
        <v>-6652</v>
      </c>
      <c r="G41" s="109"/>
      <c r="H41" s="109">
        <f>SUM(H33:H39)</f>
        <v>-5034</v>
      </c>
    </row>
    <row r="42" spans="1:9" ht="13.8" x14ac:dyDescent="0.25">
      <c r="A42" s="89"/>
      <c r="B42" s="111"/>
      <c r="C42" s="111"/>
      <c r="D42" s="111"/>
      <c r="E42" s="111"/>
      <c r="F42" s="111"/>
      <c r="G42" s="111"/>
      <c r="H42" s="111"/>
    </row>
    <row r="43" spans="1:9" s="73" customFormat="1" ht="13.8" x14ac:dyDescent="0.25">
      <c r="A43" s="90" t="s">
        <v>75</v>
      </c>
      <c r="B43" s="112">
        <f>B41+B31+B24</f>
        <v>84.647827020191471</v>
      </c>
      <c r="C43" s="112"/>
      <c r="D43" s="112">
        <f>D41+D31+D24</f>
        <v>-160.07098201404733</v>
      </c>
      <c r="E43" s="112"/>
      <c r="F43" s="112">
        <f>F41+F31+F24</f>
        <v>-466.79632543267508</v>
      </c>
      <c r="G43" s="112"/>
      <c r="H43" s="112">
        <f>H41+H31+H24</f>
        <v>509</v>
      </c>
      <c r="I43" s="113"/>
    </row>
    <row r="44" spans="1:9" s="73" customFormat="1" ht="13.8" x14ac:dyDescent="0.25">
      <c r="A44" s="82" t="s">
        <v>59</v>
      </c>
      <c r="B44" s="95">
        <v>-111</v>
      </c>
      <c r="C44" s="95"/>
      <c r="D44" s="95">
        <v>-106</v>
      </c>
      <c r="E44" s="95"/>
      <c r="F44" s="95">
        <v>-34</v>
      </c>
      <c r="G44" s="95"/>
      <c r="H44" s="95">
        <v>-2</v>
      </c>
      <c r="I44" s="113"/>
    </row>
    <row r="45" spans="1:9" s="73" customFormat="1" ht="13.8" x14ac:dyDescent="0.25">
      <c r="A45" s="82"/>
      <c r="B45" s="114"/>
      <c r="C45" s="114"/>
      <c r="D45" s="114"/>
      <c r="E45" s="114"/>
      <c r="F45" s="114"/>
      <c r="G45" s="114"/>
      <c r="H45" s="114"/>
      <c r="I45" s="113"/>
    </row>
    <row r="46" spans="1:9" s="73" customFormat="1" ht="13.8" x14ac:dyDescent="0.25">
      <c r="A46" s="90" t="s">
        <v>76</v>
      </c>
      <c r="B46" s="95">
        <f>D47</f>
        <v>1727</v>
      </c>
      <c r="C46" s="95"/>
      <c r="D46" s="95">
        <f>F47</f>
        <v>1993</v>
      </c>
      <c r="E46" s="95"/>
      <c r="F46" s="95">
        <f>H47</f>
        <v>2494</v>
      </c>
      <c r="G46" s="95"/>
      <c r="H46" s="115">
        <v>1987</v>
      </c>
      <c r="I46" s="113"/>
    </row>
    <row r="47" spans="1:9" s="113" customFormat="1" ht="13.8" x14ac:dyDescent="0.25">
      <c r="A47" s="86" t="s">
        <v>77</v>
      </c>
      <c r="B47" s="109">
        <v>1701</v>
      </c>
      <c r="C47" s="109"/>
      <c r="D47" s="109">
        <v>1727</v>
      </c>
      <c r="E47" s="109"/>
      <c r="F47" s="109">
        <v>1993</v>
      </c>
      <c r="G47" s="109"/>
      <c r="H47" s="109">
        <f>'3-BS'!H10</f>
        <v>2494</v>
      </c>
    </row>
    <row r="48" spans="1:9" s="73" customFormat="1" ht="13.8" x14ac:dyDescent="0.25">
      <c r="A48" s="79" t="s">
        <v>3</v>
      </c>
      <c r="B48" s="85" t="str">
        <f>IF('3-BS'!B10=B47,"","Out of Balance")</f>
        <v/>
      </c>
      <c r="C48" s="85"/>
      <c r="D48" s="85" t="str">
        <f>IF('3-BS'!D10=D47,"","Out of Balance")</f>
        <v/>
      </c>
      <c r="E48" s="85"/>
      <c r="F48" s="85" t="str">
        <f>IF('3-BS'!F10=F47,"","Out of Balance")</f>
        <v/>
      </c>
      <c r="G48" s="85"/>
      <c r="H48" s="85" t="str">
        <f>IF('3-BS'!H10=H47,"","Out of Balance")</f>
        <v/>
      </c>
      <c r="I48" s="113"/>
    </row>
    <row r="49" spans="1:9" s="118" customFormat="1" ht="13.8" x14ac:dyDescent="0.25">
      <c r="A49" s="116" t="s">
        <v>3</v>
      </c>
      <c r="B49" s="117"/>
      <c r="C49" s="117"/>
      <c r="D49" s="117"/>
      <c r="E49" s="117"/>
      <c r="F49" s="117"/>
      <c r="G49" s="117"/>
      <c r="H49" s="117"/>
      <c r="I49" s="113"/>
    </row>
    <row r="50" spans="1:9" s="73" customFormat="1" ht="13.8" x14ac:dyDescent="0.25">
      <c r="A50" s="77" t="s">
        <v>78</v>
      </c>
      <c r="B50" s="85"/>
      <c r="C50" s="85"/>
      <c r="D50" s="85"/>
      <c r="E50" s="85"/>
      <c r="F50" s="85"/>
      <c r="G50" s="85"/>
      <c r="H50" s="85"/>
      <c r="I50" s="113"/>
    </row>
    <row r="51" spans="1:9" s="73" customFormat="1" ht="13.8" x14ac:dyDescent="0.25">
      <c r="A51" s="82" t="s">
        <v>60</v>
      </c>
      <c r="B51" s="83">
        <v>874</v>
      </c>
      <c r="C51" s="83"/>
      <c r="D51" s="83">
        <v>782</v>
      </c>
      <c r="E51" s="83"/>
      <c r="F51" s="83">
        <v>639</v>
      </c>
      <c r="G51" s="83"/>
      <c r="H51" s="83">
        <v>617</v>
      </c>
      <c r="I51" s="113"/>
    </row>
    <row r="52" spans="1:9" s="73" customFormat="1" ht="13.8" x14ac:dyDescent="0.25">
      <c r="A52" s="82" t="s">
        <v>61</v>
      </c>
      <c r="B52" s="83">
        <f>B53*'2-IS'!B27</f>
        <v>3851.52</v>
      </c>
      <c r="C52" s="83"/>
      <c r="D52" s="83">
        <f>D53*'2-IS'!D27</f>
        <v>3449.45</v>
      </c>
      <c r="E52" s="83"/>
      <c r="F52" s="83">
        <f>F53*'2-IS'!F27</f>
        <v>2835.44</v>
      </c>
      <c r="G52" s="83"/>
      <c r="H52" s="83">
        <f>H53*'2-IS'!H27</f>
        <v>2471.12</v>
      </c>
      <c r="I52" s="113"/>
    </row>
    <row r="53" spans="1:9" s="121" customFormat="1" ht="13.8" hidden="1" x14ac:dyDescent="0.25">
      <c r="A53" s="85"/>
      <c r="B53" s="119">
        <v>0.96</v>
      </c>
      <c r="C53" s="119"/>
      <c r="D53" s="119">
        <v>0.95</v>
      </c>
      <c r="E53" s="119"/>
      <c r="F53" s="119">
        <v>0.92</v>
      </c>
      <c r="G53" s="119"/>
      <c r="H53" s="119">
        <v>0.92</v>
      </c>
      <c r="I53" s="120"/>
    </row>
    <row r="54" spans="1:9" ht="13.8" x14ac:dyDescent="0.25">
      <c r="A54" s="78"/>
      <c r="B54" s="78"/>
      <c r="C54" s="78"/>
      <c r="D54" s="78"/>
      <c r="E54" s="78"/>
      <c r="F54" s="78"/>
      <c r="G54" s="78"/>
      <c r="H54" s="78"/>
    </row>
    <row r="55" spans="1:9" ht="13.8" x14ac:dyDescent="0.25">
      <c r="A55" s="78"/>
      <c r="B55" s="122"/>
      <c r="C55" s="122"/>
      <c r="D55" s="122"/>
      <c r="E55" s="122"/>
      <c r="F55" s="122"/>
      <c r="G55" s="122"/>
      <c r="H55" s="122"/>
    </row>
    <row r="56" spans="1:9" ht="13.8" x14ac:dyDescent="0.25">
      <c r="A56" s="78"/>
      <c r="B56" s="78"/>
      <c r="C56" s="78"/>
      <c r="D56" s="78"/>
      <c r="E56" s="78"/>
      <c r="F56" s="78"/>
      <c r="G56" s="78"/>
      <c r="H56" s="78"/>
    </row>
    <row r="57" spans="1:9" ht="14.4" thickBot="1" x14ac:dyDescent="0.3">
      <c r="A57" s="57" t="s">
        <v>246</v>
      </c>
      <c r="B57" s="78"/>
      <c r="C57" s="78"/>
      <c r="D57" s="78"/>
      <c r="E57" s="78"/>
      <c r="F57" s="78"/>
      <c r="G57" s="78"/>
      <c r="H57" s="78"/>
    </row>
    <row r="58" spans="1:9" s="73" customFormat="1" ht="13.8" x14ac:dyDescent="0.25">
      <c r="A58" s="123"/>
      <c r="B58" s="124"/>
      <c r="C58" s="124"/>
      <c r="D58" s="124"/>
      <c r="E58" s="124"/>
      <c r="F58" s="124"/>
      <c r="G58" s="124"/>
      <c r="H58" s="124"/>
    </row>
    <row r="59" spans="1:9" s="73" customFormat="1" ht="13.8" hidden="1" x14ac:dyDescent="0.25">
      <c r="A59" s="125"/>
      <c r="B59" s="124"/>
      <c r="C59" s="124"/>
      <c r="D59" s="124"/>
      <c r="E59" s="124"/>
      <c r="F59" s="124"/>
      <c r="G59" s="124"/>
      <c r="H59" s="124"/>
    </row>
    <row r="60" spans="1:9" s="73" customFormat="1" ht="13.8" hidden="1" x14ac:dyDescent="0.25">
      <c r="A60" s="125" t="s">
        <v>248</v>
      </c>
      <c r="B60" s="124"/>
      <c r="C60" s="124"/>
      <c r="D60" s="124"/>
      <c r="E60" s="124"/>
      <c r="F60" s="124"/>
      <c r="G60" s="124"/>
      <c r="H60" s="124"/>
    </row>
    <row r="61" spans="1:9" s="73" customFormat="1" ht="13.8" hidden="1" x14ac:dyDescent="0.25">
      <c r="A61" s="125" t="s">
        <v>249</v>
      </c>
      <c r="B61" s="124"/>
      <c r="C61" s="124"/>
      <c r="D61" s="124"/>
      <c r="E61" s="124"/>
      <c r="F61" s="124"/>
      <c r="G61" s="124"/>
      <c r="H61" s="124"/>
    </row>
    <row r="62" spans="1:9" s="73" customFormat="1" ht="13.8" hidden="1" x14ac:dyDescent="0.25">
      <c r="A62" s="125" t="s">
        <v>252</v>
      </c>
      <c r="B62" s="124"/>
      <c r="C62" s="124"/>
      <c r="D62" s="124"/>
      <c r="E62" s="124"/>
      <c r="F62" s="124"/>
      <c r="G62" s="124"/>
      <c r="H62" s="124"/>
    </row>
    <row r="63" spans="1:9" s="73" customFormat="1" ht="13.8" hidden="1" x14ac:dyDescent="0.25">
      <c r="A63" s="125" t="s">
        <v>250</v>
      </c>
      <c r="B63" s="124"/>
      <c r="C63" s="124"/>
      <c r="D63" s="124"/>
      <c r="E63" s="124"/>
      <c r="F63" s="124"/>
      <c r="G63" s="124"/>
      <c r="H63" s="124"/>
    </row>
    <row r="64" spans="1:9" s="73" customFormat="1" ht="14.4" hidden="1" thickBot="1" x14ac:dyDescent="0.3">
      <c r="A64" s="126" t="s">
        <v>251</v>
      </c>
      <c r="B64" s="124"/>
      <c r="C64" s="124"/>
      <c r="D64" s="124"/>
      <c r="E64" s="124"/>
      <c r="F64" s="124"/>
      <c r="G64" s="124"/>
      <c r="H64" s="124"/>
    </row>
    <row r="65" spans="1:8" ht="13.8" x14ac:dyDescent="0.25">
      <c r="A65" s="78"/>
      <c r="B65" s="78"/>
      <c r="C65" s="78"/>
      <c r="D65" s="78"/>
      <c r="E65" s="78"/>
      <c r="F65" s="78"/>
      <c r="G65" s="78"/>
      <c r="H65" s="78"/>
    </row>
    <row r="66" spans="1:8" ht="13.8" x14ac:dyDescent="0.25">
      <c r="A66" s="78"/>
      <c r="B66" s="78"/>
      <c r="C66" s="78"/>
      <c r="D66" s="78"/>
      <c r="E66" s="78"/>
      <c r="F66" s="78"/>
      <c r="G66" s="78"/>
      <c r="H66" s="78"/>
    </row>
    <row r="67" spans="1:8" ht="13.8" x14ac:dyDescent="0.25">
      <c r="A67" s="78"/>
      <c r="B67" s="78"/>
      <c r="C67" s="78"/>
      <c r="D67" s="78"/>
      <c r="E67" s="78"/>
      <c r="F67" s="78"/>
      <c r="G67" s="78"/>
      <c r="H67" s="78"/>
    </row>
    <row r="68" spans="1:8" ht="13.8" x14ac:dyDescent="0.25">
      <c r="A68" s="78"/>
      <c r="B68" s="78"/>
      <c r="C68" s="78"/>
      <c r="D68" s="78"/>
      <c r="E68" s="78"/>
      <c r="F68" s="78"/>
      <c r="G68" s="78"/>
      <c r="H68" s="78"/>
    </row>
    <row r="69" spans="1:8" ht="13.8" x14ac:dyDescent="0.25">
      <c r="A69" s="78"/>
      <c r="B69" s="78"/>
      <c r="C69" s="78"/>
      <c r="D69" s="78"/>
      <c r="E69" s="78"/>
      <c r="F69" s="78"/>
      <c r="G69" s="78"/>
      <c r="H69" s="78"/>
    </row>
    <row r="70" spans="1:8" ht="13.8" x14ac:dyDescent="0.25">
      <c r="A70" s="78"/>
      <c r="B70" s="78"/>
      <c r="C70" s="78"/>
      <c r="D70" s="78"/>
      <c r="E70" s="78"/>
      <c r="F70" s="78"/>
      <c r="G70" s="78"/>
      <c r="H70" s="78"/>
    </row>
    <row r="71" spans="1:8" ht="13.8" x14ac:dyDescent="0.25">
      <c r="A71" s="78"/>
      <c r="B71" s="78"/>
      <c r="C71" s="78"/>
      <c r="D71" s="78"/>
      <c r="E71" s="78"/>
      <c r="F71" s="78"/>
      <c r="G71" s="78"/>
      <c r="H71" s="78"/>
    </row>
    <row r="72" spans="1:8" ht="13.8" x14ac:dyDescent="0.25">
      <c r="A72" s="78"/>
      <c r="B72" s="78"/>
      <c r="C72" s="78"/>
      <c r="D72" s="78"/>
      <c r="E72" s="78"/>
      <c r="F72" s="78"/>
      <c r="G72" s="78"/>
      <c r="H72" s="78"/>
    </row>
    <row r="73" spans="1:8" ht="13.8" x14ac:dyDescent="0.25">
      <c r="A73" s="78"/>
      <c r="B73" s="78"/>
      <c r="C73" s="78"/>
      <c r="D73" s="78"/>
      <c r="E73" s="78"/>
      <c r="F73" s="78"/>
      <c r="G73" s="78"/>
      <c r="H73" s="78"/>
    </row>
    <row r="74" spans="1:8" ht="13.8" x14ac:dyDescent="0.25">
      <c r="A74" s="78"/>
      <c r="B74" s="78"/>
      <c r="C74" s="78"/>
      <c r="D74" s="78"/>
      <c r="E74" s="78"/>
      <c r="F74" s="78"/>
      <c r="G74" s="78"/>
      <c r="H74" s="78"/>
    </row>
    <row r="75" spans="1:8" ht="13.8" x14ac:dyDescent="0.25">
      <c r="A75" s="78"/>
      <c r="B75" s="78"/>
      <c r="C75" s="78"/>
      <c r="D75" s="78"/>
      <c r="E75" s="78"/>
      <c r="F75" s="78"/>
      <c r="G75" s="78"/>
      <c r="H75" s="78"/>
    </row>
    <row r="76" spans="1:8" ht="13.8" x14ac:dyDescent="0.25">
      <c r="A76" s="78"/>
      <c r="B76" s="78"/>
      <c r="C76" s="78"/>
      <c r="D76" s="78"/>
      <c r="E76" s="78"/>
      <c r="F76" s="78"/>
      <c r="G76" s="78"/>
      <c r="H76" s="78"/>
    </row>
    <row r="77" spans="1:8" ht="13.8" x14ac:dyDescent="0.25">
      <c r="A77" s="78"/>
      <c r="B77" s="78"/>
      <c r="C77" s="78"/>
      <c r="D77" s="78"/>
      <c r="E77" s="78"/>
      <c r="F77" s="78"/>
      <c r="G77" s="78"/>
      <c r="H77" s="78"/>
    </row>
    <row r="78" spans="1:8" ht="13.8" x14ac:dyDescent="0.25">
      <c r="A78" s="78"/>
      <c r="B78" s="78"/>
      <c r="C78" s="78"/>
      <c r="D78" s="78"/>
      <c r="E78" s="78"/>
      <c r="F78" s="78"/>
      <c r="G78" s="78"/>
      <c r="H78" s="78"/>
    </row>
    <row r="79" spans="1:8" ht="13.8" x14ac:dyDescent="0.25">
      <c r="A79" s="78"/>
      <c r="B79" s="78"/>
      <c r="C79" s="78"/>
      <c r="D79" s="78"/>
      <c r="E79" s="78"/>
      <c r="F79" s="78"/>
      <c r="G79" s="78"/>
      <c r="H79" s="78"/>
    </row>
    <row r="80" spans="1:8" ht="13.8" x14ac:dyDescent="0.25">
      <c r="A80" s="78"/>
      <c r="B80" s="78"/>
      <c r="C80" s="78"/>
      <c r="D80" s="78"/>
      <c r="E80" s="78"/>
      <c r="F80" s="78"/>
      <c r="G80" s="78"/>
      <c r="H80" s="78"/>
    </row>
    <row r="81" spans="1:8" ht="13.8" x14ac:dyDescent="0.25">
      <c r="A81" s="78"/>
      <c r="B81" s="78"/>
      <c r="C81" s="78"/>
      <c r="D81" s="78"/>
      <c r="E81" s="78"/>
      <c r="F81" s="78"/>
      <c r="G81" s="78"/>
      <c r="H81" s="78"/>
    </row>
    <row r="82" spans="1:8" ht="13.8" x14ac:dyDescent="0.25">
      <c r="A82" s="78"/>
    </row>
  </sheetData>
  <sheetProtection algorithmName="SHA-512" hashValue="Xi2RBVpQzvVDe7hr74EIpkcE9iQ18RxZUEdKnU+JptKqiq8F3/Mk5XsqOF88MYTB7by2bQGS++oq72UIuI2NVQ==" saltValue="mQKEgHTk6fo5EEzJgu79Ug==" spinCount="100000" sheet="1" objects="1" scenarios="1"/>
  <printOptions horizontalCentered="1" verticalCentered="1" gridLines="1"/>
  <pageMargins left="0.7" right="0.7" top="0.75" bottom="0.75" header="0.3" footer="0.3"/>
  <pageSetup scale="73" orientation="landscape"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37"/>
  <sheetViews>
    <sheetView zoomScale="110" zoomScaleNormal="110" zoomScaleSheetLayoutView="100" zoomScalePageLayoutView="90" workbookViewId="0">
      <selection activeCell="F1" sqref="F1"/>
    </sheetView>
  </sheetViews>
  <sheetFormatPr defaultColWidth="8.77734375" defaultRowHeight="13.2" x14ac:dyDescent="0.25"/>
  <cols>
    <col min="1" max="1" width="37.77734375" customWidth="1"/>
    <col min="2" max="5" width="11.6640625" customWidth="1"/>
    <col min="14" max="14" width="4.6640625" customWidth="1"/>
  </cols>
  <sheetData>
    <row r="1" spans="1:23" ht="30" x14ac:dyDescent="0.5">
      <c r="A1" s="20" t="s">
        <v>151</v>
      </c>
      <c r="B1" s="2"/>
      <c r="C1" s="2"/>
      <c r="D1" s="2"/>
      <c r="E1" s="2"/>
      <c r="F1" s="2"/>
      <c r="G1" s="2"/>
      <c r="H1" s="2"/>
      <c r="I1" s="2"/>
      <c r="J1" s="2"/>
      <c r="K1" s="2"/>
      <c r="L1" s="2"/>
      <c r="M1" s="2"/>
      <c r="N1" s="2"/>
      <c r="O1" s="2"/>
      <c r="P1" s="2"/>
      <c r="Q1" s="2"/>
      <c r="S1" s="183" t="s">
        <v>287</v>
      </c>
      <c r="T1" s="184"/>
      <c r="U1" s="184"/>
      <c r="V1" s="184"/>
      <c r="W1" s="185">
        <v>0</v>
      </c>
    </row>
    <row r="2" spans="1:23" ht="17.399999999999999" x14ac:dyDescent="0.3">
      <c r="A2" s="10" t="s">
        <v>121</v>
      </c>
      <c r="B2" s="2"/>
      <c r="C2" s="2"/>
      <c r="D2" s="2"/>
      <c r="E2" s="2"/>
      <c r="F2" s="2"/>
      <c r="G2" s="2"/>
      <c r="H2" s="2"/>
      <c r="I2" s="2"/>
      <c r="J2" s="2"/>
      <c r="K2" s="2"/>
      <c r="L2" s="2"/>
      <c r="M2" s="2"/>
      <c r="N2" s="2"/>
      <c r="O2" s="2"/>
      <c r="P2" s="2"/>
      <c r="Q2" s="2"/>
      <c r="S2" s="186" t="s">
        <v>310</v>
      </c>
      <c r="T2" s="187"/>
      <c r="U2" s="187"/>
      <c r="V2" s="187"/>
      <c r="W2" s="188">
        <f>W4-W1</f>
        <v>34</v>
      </c>
    </row>
    <row r="3" spans="1:23" ht="18" thickBot="1" x14ac:dyDescent="0.35">
      <c r="A3" s="6" t="s">
        <v>87</v>
      </c>
      <c r="B3" s="3">
        <f>'1-Hist'!B5</f>
        <v>42855</v>
      </c>
      <c r="C3" s="3">
        <f>'1-Hist'!D5</f>
        <v>42490</v>
      </c>
      <c r="D3" s="3">
        <f>'1-Hist'!F5</f>
        <v>42124</v>
      </c>
      <c r="E3" s="3">
        <f>'1-Hist'!H5</f>
        <v>41759</v>
      </c>
      <c r="F3" s="2"/>
      <c r="G3" s="2"/>
      <c r="H3" s="2"/>
      <c r="I3" s="2"/>
      <c r="J3" s="2"/>
      <c r="K3" s="2"/>
      <c r="L3" s="2"/>
      <c r="M3" s="2"/>
      <c r="N3" s="2"/>
      <c r="O3" s="2"/>
      <c r="P3" s="2"/>
      <c r="Q3" s="2"/>
      <c r="S3" s="189"/>
      <c r="T3" s="187"/>
      <c r="U3" s="187"/>
      <c r="V3" s="187"/>
      <c r="W3" s="190"/>
    </row>
    <row r="4" spans="1:23" ht="18.600000000000001" thickTop="1" thickBot="1" x14ac:dyDescent="0.35">
      <c r="A4" s="9" t="s">
        <v>88</v>
      </c>
      <c r="B4" s="229">
        <f>'3-BS'!B15/'3-BS'!B37</f>
        <v>1.3155037521954336</v>
      </c>
      <c r="C4" s="214"/>
      <c r="D4" s="214"/>
      <c r="E4" s="135"/>
      <c r="F4" s="2"/>
      <c r="G4" s="2"/>
      <c r="I4" s="2"/>
      <c r="J4" s="2"/>
      <c r="K4" s="2"/>
      <c r="L4" s="2"/>
      <c r="M4" s="2"/>
      <c r="N4" s="2"/>
      <c r="O4" s="2"/>
      <c r="P4" s="2"/>
      <c r="Q4" s="2"/>
      <c r="S4" s="191" t="s">
        <v>303</v>
      </c>
      <c r="T4" s="192"/>
      <c r="U4" s="192"/>
      <c r="V4" s="192"/>
      <c r="W4" s="193">
        <v>34</v>
      </c>
    </row>
    <row r="5" spans="1:23" ht="15" thickTop="1" thickBot="1" x14ac:dyDescent="0.3">
      <c r="A5" s="9" t="s">
        <v>89</v>
      </c>
      <c r="B5" s="215"/>
      <c r="C5" s="215"/>
      <c r="D5" s="215"/>
      <c r="E5" s="215"/>
      <c r="F5" s="2"/>
      <c r="G5" s="2"/>
      <c r="H5" s="2"/>
      <c r="I5" s="11" t="s">
        <v>126</v>
      </c>
      <c r="J5" s="2"/>
      <c r="K5" s="2"/>
      <c r="L5" s="2"/>
      <c r="M5" s="2"/>
      <c r="N5" s="2"/>
      <c r="O5" s="2"/>
      <c r="P5" s="2"/>
      <c r="Q5" s="2"/>
    </row>
    <row r="6" spans="1:23" ht="15" thickTop="1" thickBot="1" x14ac:dyDescent="0.3">
      <c r="A6" s="15" t="s">
        <v>90</v>
      </c>
      <c r="B6" s="214"/>
      <c r="C6" s="214"/>
      <c r="D6" s="214"/>
      <c r="E6" s="135"/>
      <c r="F6" s="2"/>
      <c r="G6" s="2"/>
      <c r="H6" s="2"/>
      <c r="I6" s="11" t="s">
        <v>125</v>
      </c>
      <c r="J6" s="2"/>
      <c r="K6" s="2"/>
      <c r="M6" s="2"/>
      <c r="P6" s="2"/>
      <c r="Q6" s="2"/>
    </row>
    <row r="7" spans="1:23" ht="15" thickTop="1" thickBot="1" x14ac:dyDescent="0.3">
      <c r="A7" s="15" t="s">
        <v>91</v>
      </c>
      <c r="B7" s="214"/>
      <c r="C7" s="214"/>
      <c r="D7" s="216"/>
      <c r="E7" s="137"/>
      <c r="F7" s="2"/>
      <c r="G7" s="2"/>
      <c r="H7" s="2"/>
      <c r="I7" s="2"/>
      <c r="J7" s="2"/>
      <c r="K7" s="2"/>
      <c r="M7" s="2"/>
      <c r="N7" s="2"/>
      <c r="P7" s="2"/>
      <c r="Q7" s="2"/>
    </row>
    <row r="8" spans="1:23" ht="15" thickTop="1" thickBot="1" x14ac:dyDescent="0.3">
      <c r="A8" s="15" t="s">
        <v>311</v>
      </c>
      <c r="B8" s="238"/>
      <c r="C8" s="238"/>
      <c r="D8" s="239"/>
      <c r="E8" s="2"/>
      <c r="F8" s="2"/>
      <c r="G8" s="2"/>
      <c r="H8" s="2"/>
      <c r="I8" s="2"/>
      <c r="J8" s="2"/>
      <c r="K8" s="2"/>
      <c r="M8" s="2"/>
      <c r="N8" s="2"/>
      <c r="P8" s="2"/>
      <c r="Q8" s="2"/>
    </row>
    <row r="9" spans="1:23" ht="15" thickTop="1" thickBot="1" x14ac:dyDescent="0.3">
      <c r="A9" s="15" t="s">
        <v>92</v>
      </c>
      <c r="B9" s="214"/>
      <c r="C9" s="214"/>
      <c r="D9" s="216"/>
      <c r="E9" s="137"/>
      <c r="F9" s="2"/>
      <c r="G9" s="2"/>
      <c r="H9" s="2"/>
      <c r="J9" s="2"/>
      <c r="K9" s="2"/>
      <c r="M9" s="2"/>
      <c r="N9" s="2"/>
      <c r="P9" s="2"/>
      <c r="Q9" s="2"/>
    </row>
    <row r="10" spans="1:23" ht="15" thickTop="1" thickBot="1" x14ac:dyDescent="0.3">
      <c r="A10" s="15" t="s">
        <v>312</v>
      </c>
      <c r="B10" s="238"/>
      <c r="C10" s="238"/>
      <c r="D10" s="239"/>
      <c r="E10" s="2"/>
      <c r="F10" s="2"/>
      <c r="G10" s="2"/>
      <c r="H10" s="2"/>
      <c r="J10" s="2"/>
      <c r="K10" s="2"/>
      <c r="M10" s="2"/>
      <c r="N10" s="2"/>
      <c r="P10" s="2"/>
      <c r="Q10" s="2"/>
    </row>
    <row r="11" spans="1:23" ht="15" thickTop="1" thickBot="1" x14ac:dyDescent="0.3">
      <c r="A11" s="15" t="s">
        <v>93</v>
      </c>
      <c r="B11" s="215"/>
      <c r="C11" s="215"/>
      <c r="D11" s="215"/>
      <c r="E11" s="215"/>
      <c r="F11" s="2"/>
      <c r="G11" s="2"/>
      <c r="H11" s="2"/>
      <c r="I11" s="12"/>
      <c r="J11" s="2"/>
      <c r="K11" s="2"/>
      <c r="M11" s="2"/>
      <c r="N11" s="2"/>
      <c r="P11" s="2"/>
      <c r="Q11" s="2"/>
    </row>
    <row r="12" spans="1:23" ht="15" thickTop="1" thickBot="1" x14ac:dyDescent="0.3">
      <c r="A12" s="134"/>
      <c r="B12" s="138"/>
      <c r="C12" s="139"/>
      <c r="D12" s="139"/>
      <c r="E12" s="139"/>
      <c r="F12" s="2"/>
      <c r="G12" s="2"/>
      <c r="H12" s="2"/>
      <c r="I12" s="11"/>
      <c r="J12" s="2"/>
      <c r="K12" s="2"/>
      <c r="M12" s="2"/>
      <c r="N12" s="2"/>
      <c r="P12" s="2"/>
      <c r="Q12" s="2"/>
    </row>
    <row r="13" spans="1:23" ht="15" thickTop="1" thickBot="1" x14ac:dyDescent="0.3">
      <c r="A13" s="9" t="s">
        <v>94</v>
      </c>
      <c r="B13" s="140"/>
      <c r="C13" s="140"/>
      <c r="D13" s="140"/>
      <c r="E13" s="139"/>
      <c r="F13" s="2"/>
      <c r="G13" s="2"/>
      <c r="H13" s="2"/>
      <c r="I13" s="11"/>
      <c r="J13" s="2"/>
      <c r="K13" s="2"/>
      <c r="M13" s="2"/>
      <c r="N13" s="2"/>
      <c r="P13" s="2"/>
      <c r="Q13" s="2"/>
    </row>
    <row r="14" spans="1:23" ht="15" thickTop="1" thickBot="1" x14ac:dyDescent="0.3">
      <c r="A14" s="9" t="s">
        <v>95</v>
      </c>
      <c r="B14" s="140"/>
      <c r="C14" s="140"/>
      <c r="D14" s="140"/>
      <c r="E14" s="139"/>
      <c r="F14" s="2"/>
      <c r="G14" s="2"/>
      <c r="H14" s="2"/>
      <c r="I14" s="11"/>
      <c r="J14" s="2"/>
      <c r="K14" s="2"/>
      <c r="M14" s="2"/>
      <c r="N14" s="2"/>
      <c r="P14" s="2"/>
      <c r="Q14" s="2"/>
    </row>
    <row r="15" spans="1:23" ht="15" thickTop="1" x14ac:dyDescent="0.3">
      <c r="A15" s="2"/>
      <c r="B15" s="2"/>
      <c r="C15" s="2"/>
      <c r="D15" s="2"/>
      <c r="E15" s="2"/>
      <c r="F15" s="2"/>
      <c r="G15" s="2"/>
      <c r="H15" s="2"/>
      <c r="I15" s="13"/>
      <c r="J15" s="2"/>
      <c r="K15" s="2"/>
      <c r="L15" s="2"/>
      <c r="M15" s="2"/>
      <c r="N15" s="2"/>
      <c r="O15" s="2"/>
      <c r="P15" s="2"/>
      <c r="Q15" s="2"/>
    </row>
    <row r="16" spans="1:23" ht="13.8" x14ac:dyDescent="0.25">
      <c r="A16" s="2"/>
      <c r="B16" s="2"/>
      <c r="C16" s="2"/>
      <c r="D16" s="2"/>
      <c r="E16" s="2"/>
      <c r="F16" s="2"/>
      <c r="G16" s="2"/>
      <c r="I16" s="2"/>
      <c r="J16" s="2"/>
      <c r="K16" s="2"/>
      <c r="L16" s="2"/>
      <c r="M16" s="2"/>
      <c r="N16" s="2"/>
      <c r="O16" s="2"/>
      <c r="P16" s="2"/>
      <c r="Q16" s="2"/>
    </row>
    <row r="17" spans="1:17" ht="13.8" x14ac:dyDescent="0.25">
      <c r="A17" s="2"/>
      <c r="B17" s="2"/>
      <c r="C17" s="2"/>
      <c r="D17" s="2"/>
      <c r="E17" s="2"/>
      <c r="K17" s="2"/>
      <c r="L17" s="2"/>
      <c r="M17" s="2"/>
      <c r="N17" s="2"/>
      <c r="O17" s="2"/>
      <c r="P17" s="2"/>
      <c r="Q17" s="2"/>
    </row>
    <row r="18" spans="1:17" ht="13.8" x14ac:dyDescent="0.25">
      <c r="A18" s="28" t="s">
        <v>215</v>
      </c>
      <c r="B18" s="28" t="s">
        <v>216</v>
      </c>
      <c r="C18" s="11"/>
      <c r="D18" s="11"/>
      <c r="E18" s="11"/>
      <c r="F18" s="29"/>
      <c r="G18" s="29"/>
      <c r="H18" s="29"/>
      <c r="I18" s="29"/>
      <c r="J18" s="30" t="s">
        <v>217</v>
      </c>
      <c r="Q18" s="2"/>
    </row>
    <row r="19" spans="1:17" ht="15.6" x14ac:dyDescent="0.3">
      <c r="A19" s="2" t="s">
        <v>133</v>
      </c>
      <c r="B19" s="2" t="s">
        <v>296</v>
      </c>
      <c r="C19" s="2"/>
      <c r="D19" s="2"/>
      <c r="E19" s="2"/>
      <c r="J19" s="1" t="s">
        <v>157</v>
      </c>
      <c r="K19" s="30"/>
      <c r="L19" s="29"/>
      <c r="M19" s="29"/>
      <c r="N19" s="29"/>
      <c r="O19" s="29"/>
      <c r="P19" s="29"/>
    </row>
    <row r="20" spans="1:17" s="29" customFormat="1" ht="13.8" x14ac:dyDescent="0.25">
      <c r="A20" s="2" t="s">
        <v>134</v>
      </c>
      <c r="B20" s="2" t="s">
        <v>135</v>
      </c>
      <c r="C20" s="2"/>
      <c r="D20" s="2"/>
      <c r="E20" s="2"/>
      <c r="F20"/>
      <c r="G20"/>
      <c r="H20"/>
      <c r="I20"/>
      <c r="J20" s="1" t="s">
        <v>158</v>
      </c>
      <c r="K20" s="1"/>
      <c r="L20"/>
      <c r="M20"/>
      <c r="N20"/>
      <c r="O20"/>
      <c r="P20"/>
    </row>
    <row r="21" spans="1:17" ht="14.4" x14ac:dyDescent="0.3">
      <c r="A21" s="2" t="s">
        <v>136</v>
      </c>
      <c r="B21" s="2" t="s">
        <v>297</v>
      </c>
      <c r="C21" s="2"/>
      <c r="D21" s="2"/>
      <c r="E21" s="2"/>
      <c r="J21" s="1" t="s">
        <v>159</v>
      </c>
      <c r="K21" s="1"/>
    </row>
    <row r="22" spans="1:17" ht="13.8" x14ac:dyDescent="0.25">
      <c r="A22" s="2"/>
      <c r="B22" s="2"/>
      <c r="C22" s="2"/>
      <c r="D22" s="2"/>
      <c r="E22" s="2"/>
      <c r="J22" s="1" t="s">
        <v>220</v>
      </c>
      <c r="K22" s="1"/>
    </row>
    <row r="23" spans="1:17" ht="14.4" x14ac:dyDescent="0.3">
      <c r="A23" s="2" t="s">
        <v>137</v>
      </c>
      <c r="B23" s="2" t="s">
        <v>291</v>
      </c>
      <c r="C23" s="2"/>
      <c r="D23" s="2"/>
      <c r="E23" s="2"/>
      <c r="J23" s="1" t="s">
        <v>160</v>
      </c>
      <c r="K23" s="1"/>
    </row>
    <row r="24" spans="1:17" ht="14.4" x14ac:dyDescent="0.3">
      <c r="A24" s="2" t="s">
        <v>138</v>
      </c>
      <c r="B24" s="2" t="s">
        <v>143</v>
      </c>
      <c r="C24" s="2"/>
      <c r="D24" s="2"/>
      <c r="E24" s="2"/>
      <c r="K24" s="1"/>
    </row>
    <row r="25" spans="1:17" ht="15.6" x14ac:dyDescent="0.3">
      <c r="A25" s="222" t="s">
        <v>139</v>
      </c>
      <c r="B25" s="222" t="s">
        <v>292</v>
      </c>
      <c r="C25" s="222"/>
      <c r="D25" s="222"/>
      <c r="E25" s="222"/>
      <c r="F25" s="223"/>
      <c r="G25" s="223"/>
      <c r="H25" s="223"/>
      <c r="I25" s="223"/>
      <c r="J25" s="224" t="s">
        <v>161</v>
      </c>
    </row>
    <row r="26" spans="1:17" ht="13.8" x14ac:dyDescent="0.25">
      <c r="A26" s="2" t="s">
        <v>140</v>
      </c>
      <c r="B26" s="2" t="s">
        <v>293</v>
      </c>
      <c r="C26" s="2"/>
      <c r="D26" s="2"/>
      <c r="E26" s="2"/>
      <c r="J26" s="1" t="s">
        <v>163</v>
      </c>
      <c r="K26" s="224"/>
      <c r="L26" s="223"/>
      <c r="M26" s="223"/>
      <c r="N26" s="223"/>
      <c r="O26" s="223"/>
      <c r="P26" s="223"/>
    </row>
    <row r="27" spans="1:17" s="223" customFormat="1" ht="13.8" x14ac:dyDescent="0.25">
      <c r="A27" s="2" t="s">
        <v>141</v>
      </c>
      <c r="B27" s="2" t="s">
        <v>144</v>
      </c>
      <c r="C27" s="2"/>
      <c r="D27" s="2"/>
      <c r="E27" s="2"/>
      <c r="F27"/>
      <c r="G27"/>
      <c r="H27"/>
      <c r="I27"/>
      <c r="J27"/>
      <c r="K27" s="1"/>
      <c r="L27"/>
      <c r="M27"/>
      <c r="N27"/>
      <c r="O27"/>
      <c r="P27"/>
    </row>
    <row r="28" spans="1:17" ht="15.6" x14ac:dyDescent="0.3">
      <c r="A28" s="222" t="s">
        <v>142</v>
      </c>
      <c r="B28" s="222" t="s">
        <v>243</v>
      </c>
      <c r="C28" s="222"/>
      <c r="D28" s="222"/>
      <c r="E28" s="222" t="s">
        <v>305</v>
      </c>
      <c r="F28" s="223"/>
      <c r="G28" s="223"/>
      <c r="H28" s="223"/>
      <c r="I28" s="223"/>
      <c r="J28" s="224" t="s">
        <v>162</v>
      </c>
    </row>
    <row r="29" spans="1:17" ht="14.4" x14ac:dyDescent="0.3">
      <c r="A29" s="2"/>
      <c r="B29" s="17" t="s">
        <v>145</v>
      </c>
      <c r="C29" s="2"/>
      <c r="D29" s="2"/>
      <c r="E29" s="2"/>
      <c r="K29" s="224"/>
      <c r="L29" s="223"/>
      <c r="M29" s="223"/>
      <c r="N29" s="223"/>
      <c r="O29" s="223"/>
      <c r="P29" s="223"/>
    </row>
    <row r="30" spans="1:17" s="223" customFormat="1" ht="13.8" x14ac:dyDescent="0.25">
      <c r="A30" s="2" t="s">
        <v>146</v>
      </c>
      <c r="B30" s="2" t="s">
        <v>147</v>
      </c>
      <c r="C30" s="2"/>
      <c r="D30" s="2"/>
      <c r="E30" s="2"/>
      <c r="F30"/>
      <c r="G30"/>
      <c r="H30" s="19" t="s">
        <v>150</v>
      </c>
      <c r="I30"/>
      <c r="J30" s="1" t="s">
        <v>164</v>
      </c>
      <c r="K30"/>
      <c r="L30"/>
      <c r="M30"/>
      <c r="N30"/>
      <c r="O30"/>
      <c r="P30"/>
    </row>
    <row r="31" spans="1:17" ht="13.8" x14ac:dyDescent="0.25">
      <c r="A31" s="2"/>
      <c r="B31" s="2"/>
      <c r="C31" s="2"/>
      <c r="D31" s="2"/>
      <c r="E31" s="2"/>
      <c r="K31" s="1"/>
    </row>
    <row r="32" spans="1:17" ht="13.8" x14ac:dyDescent="0.25">
      <c r="A32" s="2"/>
      <c r="B32" s="2"/>
      <c r="C32" s="2"/>
      <c r="D32" s="2"/>
      <c r="E32" s="2"/>
    </row>
    <row r="33" spans="1:5" ht="13.8" x14ac:dyDescent="0.25">
      <c r="A33" s="2"/>
      <c r="B33" s="2"/>
      <c r="C33" s="2"/>
      <c r="D33" s="2"/>
      <c r="E33" s="2"/>
    </row>
    <row r="34" spans="1:5" ht="13.8" x14ac:dyDescent="0.25">
      <c r="A34" s="2"/>
      <c r="B34" s="2"/>
      <c r="C34" s="2"/>
      <c r="D34" s="2"/>
      <c r="E34" s="2"/>
    </row>
    <row r="35" spans="1:5" ht="13.8" x14ac:dyDescent="0.25">
      <c r="A35" s="2"/>
      <c r="B35" s="2"/>
      <c r="C35" s="2"/>
      <c r="D35" s="2"/>
      <c r="E35" s="2"/>
    </row>
    <row r="36" spans="1:5" ht="13.8" x14ac:dyDescent="0.25">
      <c r="A36" s="2"/>
      <c r="B36" s="2"/>
      <c r="C36" s="2"/>
      <c r="D36" s="2"/>
      <c r="E36" s="2"/>
    </row>
    <row r="37" spans="1:5" ht="13.8" x14ac:dyDescent="0.25">
      <c r="A37" s="2"/>
      <c r="B37" s="2"/>
      <c r="C37" s="2"/>
      <c r="D37" s="2"/>
      <c r="E37" s="2"/>
    </row>
  </sheetData>
  <printOptions horizontalCentered="1" verticalCentered="1" gridLines="1"/>
  <pageMargins left="0.7" right="0.7" top="0.75" bottom="0.75" header="0.3" footer="0.3"/>
  <pageSetup scale="70" orientation="landscape" r:id="rId1"/>
  <colBreaks count="2" manualBreakCount="2">
    <brk id="16" max="29" man="1"/>
    <brk id="17" max="1048575" man="1"/>
  </colBreaks>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25"/>
  <sheetViews>
    <sheetView zoomScale="90" zoomScaleNormal="90" zoomScaleSheetLayoutView="100" workbookViewId="0"/>
  </sheetViews>
  <sheetFormatPr defaultColWidth="8.77734375" defaultRowHeight="13.2" x14ac:dyDescent="0.25"/>
  <cols>
    <col min="1" max="1" width="24" customWidth="1"/>
    <col min="2" max="2" width="11.33203125" bestFit="1" customWidth="1"/>
    <col min="3" max="5" width="11" bestFit="1" customWidth="1"/>
    <col min="8" max="8" width="9.77734375" customWidth="1"/>
    <col min="9" max="9" width="3.5546875" customWidth="1"/>
  </cols>
  <sheetData>
    <row r="1" spans="1:23" ht="30" x14ac:dyDescent="0.5">
      <c r="A1" s="20" t="s">
        <v>152</v>
      </c>
      <c r="B1" s="2"/>
      <c r="C1" s="2"/>
      <c r="D1" s="2"/>
      <c r="E1" s="2"/>
      <c r="F1" s="2"/>
      <c r="G1" s="2"/>
      <c r="H1" s="2"/>
      <c r="I1" s="2"/>
      <c r="J1" s="2"/>
      <c r="K1" s="2"/>
      <c r="L1" s="2"/>
      <c r="M1" s="2"/>
      <c r="N1" s="2"/>
      <c r="O1" s="2"/>
      <c r="P1" s="2"/>
      <c r="Q1" s="2"/>
      <c r="R1" s="183" t="s">
        <v>287</v>
      </c>
      <c r="S1" s="184"/>
      <c r="T1" s="184"/>
      <c r="U1" s="184"/>
      <c r="V1" s="185">
        <v>0</v>
      </c>
      <c r="W1" s="2"/>
    </row>
    <row r="2" spans="1:23" ht="17.399999999999999" x14ac:dyDescent="0.3">
      <c r="A2" s="10" t="s">
        <v>121</v>
      </c>
      <c r="B2" s="2"/>
      <c r="C2" s="2"/>
      <c r="D2" s="2"/>
      <c r="E2" s="2"/>
      <c r="F2" s="2"/>
      <c r="G2" s="2"/>
      <c r="H2" s="2"/>
      <c r="I2" s="2"/>
      <c r="J2" s="2"/>
      <c r="K2" s="2"/>
      <c r="L2" s="2"/>
      <c r="M2" s="2"/>
      <c r="N2" s="2"/>
      <c r="O2" s="2"/>
      <c r="P2" s="2"/>
      <c r="Q2" s="2"/>
      <c r="R2" s="186" t="s">
        <v>310</v>
      </c>
      <c r="S2" s="187"/>
      <c r="T2" s="187"/>
      <c r="U2" s="187"/>
      <c r="V2" s="188">
        <f>V4-V1</f>
        <v>16</v>
      </c>
      <c r="W2" s="2"/>
    </row>
    <row r="3" spans="1:23" ht="18" thickBot="1" x14ac:dyDescent="0.35">
      <c r="A3" s="6" t="s">
        <v>87</v>
      </c>
      <c r="B3" s="3">
        <f>'1-Hist'!B5</f>
        <v>42855</v>
      </c>
      <c r="C3" s="3">
        <f>'1-Hist'!D5</f>
        <v>42490</v>
      </c>
      <c r="D3" s="3">
        <f>'1-Hist'!F5</f>
        <v>42124</v>
      </c>
      <c r="E3" s="3">
        <f>'1-Hist'!H5</f>
        <v>41759</v>
      </c>
      <c r="F3" s="2"/>
      <c r="G3" s="2"/>
      <c r="H3" s="2"/>
      <c r="I3" s="2"/>
      <c r="J3" s="2"/>
      <c r="K3" s="2"/>
      <c r="L3" s="2"/>
      <c r="M3" s="2"/>
      <c r="N3" s="2"/>
      <c r="P3" s="2"/>
      <c r="Q3" s="2"/>
      <c r="R3" s="189"/>
      <c r="S3" s="187"/>
      <c r="T3" s="187"/>
      <c r="U3" s="187"/>
      <c r="V3" s="190"/>
      <c r="W3" s="2"/>
    </row>
    <row r="4" spans="1:23" ht="18.600000000000001" thickTop="1" thickBot="1" x14ac:dyDescent="0.35">
      <c r="A4" s="4" t="s">
        <v>306</v>
      </c>
      <c r="B4" s="235"/>
      <c r="C4" s="235"/>
      <c r="D4" s="235"/>
      <c r="E4" s="235"/>
      <c r="F4" s="2"/>
      <c r="G4" s="2"/>
      <c r="H4" s="2"/>
      <c r="I4" s="2"/>
      <c r="J4" s="2"/>
      <c r="K4" s="2"/>
      <c r="L4" s="2"/>
      <c r="M4" s="2"/>
      <c r="N4" s="2"/>
      <c r="P4" s="2"/>
      <c r="Q4" s="2"/>
      <c r="R4" s="191" t="s">
        <v>303</v>
      </c>
      <c r="S4" s="192"/>
      <c r="T4" s="192"/>
      <c r="U4" s="192"/>
      <c r="V4" s="193">
        <v>16</v>
      </c>
      <c r="W4" s="2"/>
    </row>
    <row r="5" spans="1:23" ht="15" thickTop="1" thickBot="1" x14ac:dyDescent="0.3">
      <c r="A5" s="15" t="s">
        <v>299</v>
      </c>
      <c r="B5" s="136"/>
      <c r="C5" s="136"/>
      <c r="D5" s="136"/>
      <c r="E5" s="136"/>
      <c r="F5" s="2"/>
      <c r="G5" s="2"/>
      <c r="H5" s="2"/>
      <c r="I5" s="2"/>
      <c r="J5" s="2"/>
      <c r="K5" s="2"/>
      <c r="L5" s="2"/>
      <c r="M5" s="2"/>
      <c r="N5" s="2"/>
      <c r="O5" s="2"/>
      <c r="P5" s="2"/>
      <c r="Q5" s="2"/>
      <c r="R5" s="2"/>
      <c r="S5" s="2"/>
      <c r="T5" s="2"/>
      <c r="U5" s="2"/>
      <c r="V5" s="2"/>
      <c r="W5" s="2"/>
    </row>
    <row r="6" spans="1:23" ht="15" thickTop="1" thickBot="1" x14ac:dyDescent="0.3">
      <c r="A6" s="15" t="s">
        <v>96</v>
      </c>
      <c r="B6" s="136"/>
      <c r="C6" s="136"/>
      <c r="D6" s="141"/>
      <c r="E6" s="136"/>
      <c r="F6" s="2"/>
      <c r="G6" s="2"/>
      <c r="H6" s="2"/>
      <c r="I6" s="2"/>
      <c r="J6" s="2"/>
      <c r="K6" s="2"/>
      <c r="L6" s="2"/>
      <c r="M6" s="2"/>
      <c r="N6" s="2"/>
      <c r="O6" s="2"/>
      <c r="P6" s="2"/>
      <c r="Q6" s="2"/>
      <c r="R6" s="2"/>
      <c r="S6" s="2"/>
      <c r="T6" s="2"/>
      <c r="U6" s="2"/>
      <c r="V6" s="2"/>
      <c r="W6" s="2"/>
    </row>
    <row r="7" spans="1:23" ht="15" thickTop="1" thickBot="1" x14ac:dyDescent="0.3">
      <c r="A7" s="9"/>
      <c r="B7" s="137"/>
      <c r="C7" s="137"/>
      <c r="D7" s="137"/>
      <c r="E7" s="137"/>
      <c r="F7" s="2"/>
      <c r="G7" s="2"/>
      <c r="H7" s="2"/>
      <c r="I7" s="11" t="s">
        <v>127</v>
      </c>
      <c r="J7" s="2"/>
      <c r="K7" s="2"/>
      <c r="L7" s="2"/>
      <c r="M7" s="2"/>
      <c r="N7" s="2"/>
      <c r="O7" s="2"/>
      <c r="P7" s="2"/>
      <c r="Q7" s="2"/>
      <c r="R7" s="2"/>
      <c r="S7" s="2"/>
      <c r="T7" s="2"/>
      <c r="U7" s="2"/>
      <c r="V7" s="2"/>
      <c r="W7" s="2"/>
    </row>
    <row r="8" spans="1:23" ht="15" thickTop="1" thickBot="1" x14ac:dyDescent="0.3">
      <c r="A8" s="9" t="s">
        <v>97</v>
      </c>
      <c r="B8" s="140"/>
      <c r="C8" s="140"/>
      <c r="D8" s="140"/>
      <c r="E8" s="140"/>
      <c r="F8" s="2"/>
      <c r="G8" s="2"/>
      <c r="H8" s="2"/>
      <c r="I8" s="11" t="s">
        <v>128</v>
      </c>
      <c r="J8" s="2"/>
      <c r="K8" s="2"/>
      <c r="L8" s="2"/>
      <c r="M8" s="2"/>
      <c r="N8" s="2"/>
      <c r="O8" s="2"/>
      <c r="P8" s="2"/>
      <c r="Q8" s="2"/>
      <c r="R8" s="2"/>
      <c r="S8" s="2"/>
      <c r="T8" s="2"/>
      <c r="U8" s="2"/>
      <c r="V8" s="2"/>
      <c r="W8" s="2"/>
    </row>
    <row r="9" spans="1:23" ht="14.4" thickTop="1" x14ac:dyDescent="0.25">
      <c r="A9" s="2"/>
      <c r="B9" s="2"/>
      <c r="C9" s="2"/>
      <c r="D9" s="2"/>
      <c r="E9" s="2"/>
      <c r="F9" s="2"/>
      <c r="G9" s="2"/>
      <c r="H9" s="2"/>
      <c r="I9" s="2"/>
      <c r="J9" s="2"/>
      <c r="K9" s="2"/>
      <c r="L9" s="2"/>
      <c r="M9" s="2"/>
      <c r="N9" s="2"/>
      <c r="O9" s="2"/>
      <c r="P9" s="2"/>
      <c r="Q9" s="2"/>
      <c r="R9" s="2"/>
      <c r="S9" s="2"/>
      <c r="T9" s="2"/>
      <c r="U9" s="2"/>
      <c r="V9" s="2"/>
      <c r="W9" s="2"/>
    </row>
    <row r="10" spans="1:23" s="29" customFormat="1" ht="13.8" x14ac:dyDescent="0.25">
      <c r="A10" s="2"/>
      <c r="B10" s="2"/>
      <c r="C10" s="2"/>
      <c r="D10" s="2"/>
      <c r="E10" s="2"/>
      <c r="F10" s="2"/>
      <c r="G10" s="2"/>
      <c r="H10" s="2"/>
      <c r="I10" s="2"/>
      <c r="J10" s="2"/>
      <c r="K10" s="2"/>
      <c r="L10" s="2"/>
      <c r="M10" s="2"/>
      <c r="N10" s="2"/>
      <c r="O10" s="2"/>
      <c r="P10" s="2"/>
      <c r="Q10" s="2"/>
    </row>
    <row r="11" spans="1:23" ht="13.8" x14ac:dyDescent="0.25">
      <c r="A11" s="28" t="s">
        <v>215</v>
      </c>
      <c r="B11" s="28" t="s">
        <v>216</v>
      </c>
      <c r="C11" s="11"/>
      <c r="D11" s="11"/>
      <c r="E11" s="11"/>
      <c r="F11" s="29"/>
      <c r="G11" s="29"/>
      <c r="H11" s="29"/>
      <c r="I11" s="29"/>
      <c r="J11" s="30" t="s">
        <v>217</v>
      </c>
      <c r="K11" s="29"/>
      <c r="L11" s="29"/>
      <c r="M11" s="29"/>
      <c r="N11" s="29"/>
      <c r="O11" s="29"/>
      <c r="P11" s="29"/>
      <c r="Q11" s="29"/>
    </row>
    <row r="12" spans="1:23" ht="14.4" x14ac:dyDescent="0.3">
      <c r="A12" s="2" t="s">
        <v>153</v>
      </c>
      <c r="B12" s="2" t="s">
        <v>154</v>
      </c>
      <c r="C12" s="2"/>
      <c r="D12" s="2"/>
      <c r="E12" s="2"/>
      <c r="F12" s="2"/>
      <c r="G12" s="2"/>
      <c r="H12" s="2"/>
      <c r="I12" s="2"/>
      <c r="J12" s="2" t="s">
        <v>218</v>
      </c>
    </row>
    <row r="13" spans="1:23" ht="14.4" x14ac:dyDescent="0.3">
      <c r="A13" s="19" t="s">
        <v>155</v>
      </c>
      <c r="B13" s="19" t="s">
        <v>156</v>
      </c>
      <c r="C13" s="19"/>
      <c r="D13" s="19"/>
      <c r="E13" s="19"/>
      <c r="F13" s="2"/>
      <c r="G13" s="2"/>
      <c r="H13" s="2"/>
      <c r="I13" s="2"/>
      <c r="J13" s="2"/>
    </row>
    <row r="14" spans="1:23" ht="13.8" x14ac:dyDescent="0.25">
      <c r="A14" s="2"/>
      <c r="C14" s="2"/>
      <c r="D14" s="2"/>
      <c r="E14" s="2"/>
      <c r="F14" s="2"/>
      <c r="G14" s="2"/>
      <c r="H14" s="2"/>
      <c r="I14" s="2"/>
      <c r="J14" s="2"/>
    </row>
    <row r="15" spans="1:23" ht="13.8" x14ac:dyDescent="0.25">
      <c r="A15" s="21" t="s">
        <v>211</v>
      </c>
      <c r="B15" s="2" t="s">
        <v>212</v>
      </c>
      <c r="C15" s="2"/>
      <c r="D15" s="2"/>
      <c r="E15" s="2"/>
      <c r="F15" s="2"/>
      <c r="G15" s="2"/>
      <c r="H15" s="2"/>
      <c r="I15" s="2"/>
      <c r="J15" s="2" t="s">
        <v>219</v>
      </c>
    </row>
    <row r="16" spans="1:23" ht="13.8" x14ac:dyDescent="0.25">
      <c r="A16" s="2"/>
      <c r="B16" s="2"/>
      <c r="C16" s="2"/>
      <c r="D16" s="2"/>
      <c r="E16" s="2"/>
      <c r="F16" s="2"/>
      <c r="G16" s="2"/>
      <c r="H16" s="2"/>
      <c r="I16" s="2"/>
      <c r="J16" s="2"/>
    </row>
    <row r="17" spans="1:10" ht="13.8" x14ac:dyDescent="0.25">
      <c r="B17" s="2"/>
      <c r="C17" s="2"/>
      <c r="D17" s="2"/>
      <c r="E17" s="2"/>
      <c r="F17" s="2"/>
      <c r="G17" s="2"/>
      <c r="H17" s="2"/>
      <c r="I17" s="2"/>
      <c r="J17" s="2"/>
    </row>
    <row r="18" spans="1:10" ht="13.8" x14ac:dyDescent="0.25">
      <c r="A18" s="2"/>
      <c r="B18" s="2"/>
      <c r="C18" s="2"/>
    </row>
    <row r="19" spans="1:10" ht="13.8" x14ac:dyDescent="0.25">
      <c r="A19" s="2"/>
      <c r="B19" s="2"/>
      <c r="C19" s="2"/>
    </row>
    <row r="20" spans="1:10" ht="13.8" x14ac:dyDescent="0.25">
      <c r="A20" s="21" t="s">
        <v>213</v>
      </c>
      <c r="B20" s="2"/>
      <c r="C20" s="2"/>
    </row>
    <row r="21" spans="1:10" ht="13.8" x14ac:dyDescent="0.25">
      <c r="A21" s="21" t="s">
        <v>214</v>
      </c>
      <c r="B21" s="2"/>
      <c r="C21" s="2"/>
    </row>
    <row r="22" spans="1:10" ht="13.8" x14ac:dyDescent="0.25">
      <c r="A22" s="2"/>
      <c r="B22" s="2"/>
      <c r="C22" s="2"/>
    </row>
    <row r="23" spans="1:10" ht="13.8" x14ac:dyDescent="0.25">
      <c r="A23" s="2"/>
      <c r="B23" s="2"/>
      <c r="C23" s="2"/>
    </row>
    <row r="24" spans="1:10" ht="13.8" x14ac:dyDescent="0.25">
      <c r="A24" s="228" t="s">
        <v>300</v>
      </c>
      <c r="C24" s="2"/>
    </row>
    <row r="25" spans="1:10" ht="13.8" x14ac:dyDescent="0.25">
      <c r="A25" s="1" t="s">
        <v>301</v>
      </c>
      <c r="C25" s="2"/>
    </row>
  </sheetData>
  <printOptions horizontalCentered="1" verticalCentered="1" gridLines="1"/>
  <pageMargins left="0.7" right="0.7" top="0.75" bottom="0.75" header="0.3" footer="0.3"/>
  <pageSetup scale="70" orientation="landscape" r:id="rId1"/>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44"/>
  <sheetViews>
    <sheetView zoomScaleNormal="100" zoomScaleSheetLayoutView="100" workbookViewId="0">
      <selection activeCell="A4" sqref="A4"/>
    </sheetView>
  </sheetViews>
  <sheetFormatPr defaultColWidth="8.77734375" defaultRowHeight="13.2" x14ac:dyDescent="0.25"/>
  <cols>
    <col min="1" max="1" width="41.6640625" customWidth="1"/>
    <col min="2" max="2" width="11.33203125" bestFit="1" customWidth="1"/>
    <col min="3" max="5" width="11" bestFit="1" customWidth="1"/>
  </cols>
  <sheetData>
    <row r="1" spans="1:22" ht="30" x14ac:dyDescent="0.5">
      <c r="A1" s="20" t="s">
        <v>254</v>
      </c>
      <c r="B1" s="2"/>
      <c r="C1" s="2" t="s">
        <v>233</v>
      </c>
      <c r="D1" s="2"/>
      <c r="E1" s="2"/>
      <c r="F1" s="2"/>
      <c r="G1" s="2"/>
      <c r="H1" s="2"/>
      <c r="I1" s="2"/>
      <c r="J1" s="2"/>
      <c r="K1" s="2"/>
      <c r="L1" s="2"/>
      <c r="R1" s="183" t="s">
        <v>287</v>
      </c>
      <c r="S1" s="184"/>
      <c r="T1" s="184"/>
      <c r="U1" s="184"/>
      <c r="V1" s="185">
        <v>0</v>
      </c>
    </row>
    <row r="2" spans="1:22" ht="17.399999999999999" x14ac:dyDescent="0.3">
      <c r="A2" s="10" t="s">
        <v>121</v>
      </c>
      <c r="B2" s="2"/>
      <c r="C2" s="2"/>
      <c r="D2" s="2"/>
      <c r="E2" s="2"/>
      <c r="F2" s="2"/>
      <c r="G2" s="2"/>
      <c r="H2" s="2"/>
      <c r="I2" s="2"/>
      <c r="J2" s="2"/>
      <c r="K2" s="2"/>
      <c r="L2" s="2"/>
      <c r="R2" s="186" t="s">
        <v>310</v>
      </c>
      <c r="S2" s="187"/>
      <c r="T2" s="187"/>
      <c r="U2" s="187"/>
      <c r="V2" s="188">
        <f>V4-V1</f>
        <v>56</v>
      </c>
    </row>
    <row r="3" spans="1:22" ht="18" thickBot="1" x14ac:dyDescent="0.35">
      <c r="A3" s="6" t="s">
        <v>87</v>
      </c>
      <c r="B3" s="3">
        <f>'1-Hist'!B5</f>
        <v>42855</v>
      </c>
      <c r="C3" s="3">
        <f>'1-Hist'!D5</f>
        <v>42490</v>
      </c>
      <c r="D3" s="3">
        <f>'1-Hist'!F5</f>
        <v>42124</v>
      </c>
      <c r="E3" s="3">
        <f>'1-Hist'!H5</f>
        <v>41759</v>
      </c>
      <c r="F3" s="2"/>
      <c r="G3" s="2"/>
      <c r="H3" s="2"/>
      <c r="I3" s="2"/>
      <c r="J3" s="2"/>
      <c r="K3" s="2"/>
      <c r="L3" s="2"/>
      <c r="M3" s="2"/>
      <c r="N3" s="2"/>
      <c r="O3" s="2"/>
      <c r="P3" s="2"/>
      <c r="R3" s="189"/>
      <c r="S3" s="187"/>
      <c r="T3" s="187"/>
      <c r="U3" s="187"/>
      <c r="V3" s="190"/>
    </row>
    <row r="4" spans="1:22" ht="18.600000000000001" thickTop="1" thickBot="1" x14ac:dyDescent="0.35">
      <c r="A4" s="24" t="s">
        <v>98</v>
      </c>
      <c r="B4" s="142"/>
      <c r="C4" s="142"/>
      <c r="D4" s="142"/>
      <c r="E4" s="143"/>
      <c r="F4" s="2"/>
      <c r="G4" s="2"/>
      <c r="H4" s="2"/>
      <c r="J4" s="2"/>
      <c r="K4" s="2"/>
      <c r="L4" s="2"/>
      <c r="M4" s="2"/>
      <c r="N4" s="2"/>
      <c r="O4" s="2"/>
      <c r="P4" s="2"/>
      <c r="R4" s="191" t="s">
        <v>303</v>
      </c>
      <c r="S4" s="192"/>
      <c r="T4" s="192"/>
      <c r="U4" s="192"/>
      <c r="V4" s="193">
        <v>56</v>
      </c>
    </row>
    <row r="5" spans="1:22" ht="15" thickTop="1" thickBot="1" x14ac:dyDescent="0.3">
      <c r="A5" s="24" t="s">
        <v>99</v>
      </c>
      <c r="B5" s="144"/>
      <c r="C5" s="144"/>
      <c r="D5" s="144"/>
      <c r="E5" s="144"/>
      <c r="F5" s="2"/>
      <c r="G5" s="2"/>
      <c r="H5" s="2"/>
      <c r="I5" s="2"/>
      <c r="J5" s="2"/>
      <c r="K5" s="2"/>
      <c r="L5" s="2"/>
      <c r="M5" s="2"/>
      <c r="N5" s="2"/>
      <c r="O5" s="2"/>
      <c r="P5" s="2"/>
    </row>
    <row r="6" spans="1:22" ht="15" thickTop="1" thickBot="1" x14ac:dyDescent="0.3">
      <c r="A6" s="7" t="s">
        <v>100</v>
      </c>
      <c r="B6" s="145"/>
      <c r="C6" s="145"/>
      <c r="D6" s="145"/>
      <c r="E6" s="145"/>
      <c r="F6" s="2"/>
      <c r="G6" s="2"/>
      <c r="H6" s="2"/>
      <c r="I6" s="2"/>
      <c r="J6" s="2"/>
      <c r="K6" s="2"/>
      <c r="L6" s="2"/>
      <c r="M6" s="2"/>
      <c r="N6" s="2"/>
      <c r="O6" s="2"/>
      <c r="P6" s="2"/>
    </row>
    <row r="7" spans="1:22" ht="15" thickTop="1" thickBot="1" x14ac:dyDescent="0.3">
      <c r="A7" s="24" t="s">
        <v>101</v>
      </c>
      <c r="B7" s="144"/>
      <c r="C7" s="144"/>
      <c r="D7" s="144"/>
      <c r="E7" s="137"/>
      <c r="F7" s="2"/>
      <c r="G7" s="2"/>
      <c r="H7" s="2"/>
      <c r="I7" s="2"/>
      <c r="J7" s="2"/>
      <c r="K7" s="2"/>
      <c r="L7" s="2"/>
      <c r="M7" s="2"/>
      <c r="N7" s="2"/>
      <c r="O7" s="2"/>
      <c r="P7" s="2"/>
    </row>
    <row r="8" spans="1:22" ht="15" thickTop="1" thickBot="1" x14ac:dyDescent="0.3">
      <c r="A8" s="24" t="s">
        <v>102</v>
      </c>
      <c r="B8" s="144"/>
      <c r="C8" s="144"/>
      <c r="D8" s="144"/>
      <c r="E8" s="137"/>
      <c r="F8" s="2"/>
      <c r="G8" s="2"/>
      <c r="H8" s="2"/>
      <c r="I8" s="2"/>
      <c r="J8" s="2"/>
      <c r="K8" s="2"/>
      <c r="L8" s="2"/>
      <c r="M8" s="2"/>
      <c r="N8" s="2"/>
      <c r="O8" s="2"/>
      <c r="P8" s="2"/>
      <c r="Q8" s="2"/>
    </row>
    <row r="9" spans="1:22" ht="15" thickTop="1" thickBot="1" x14ac:dyDescent="0.3">
      <c r="A9" s="24" t="s">
        <v>103</v>
      </c>
      <c r="B9" s="144"/>
      <c r="C9" s="144"/>
      <c r="D9" s="144"/>
      <c r="E9" s="137"/>
      <c r="F9" s="2"/>
      <c r="G9" s="2"/>
      <c r="J9" s="2"/>
      <c r="K9" s="2"/>
      <c r="L9" s="2"/>
      <c r="M9" s="2"/>
      <c r="N9" s="2"/>
      <c r="O9" s="2"/>
      <c r="P9" s="2"/>
      <c r="Q9" s="2"/>
    </row>
    <row r="10" spans="1:22" ht="15" thickTop="1" thickBot="1" x14ac:dyDescent="0.3">
      <c r="A10" s="7"/>
      <c r="B10" s="137"/>
      <c r="C10" s="137"/>
      <c r="D10" s="137"/>
      <c r="E10" s="137"/>
      <c r="F10" s="2"/>
      <c r="G10" s="2"/>
      <c r="J10" s="2"/>
      <c r="K10" s="2"/>
      <c r="L10" s="2"/>
      <c r="M10" s="2"/>
      <c r="N10" s="2"/>
      <c r="O10" s="2"/>
      <c r="P10" s="2"/>
      <c r="Q10" s="2"/>
    </row>
    <row r="11" spans="1:22" ht="15" thickTop="1" thickBot="1" x14ac:dyDescent="0.3">
      <c r="A11" s="7" t="s">
        <v>104</v>
      </c>
      <c r="B11" s="140"/>
      <c r="C11" s="140"/>
      <c r="D11" s="140"/>
      <c r="E11" s="137"/>
      <c r="F11" s="2"/>
      <c r="G11" s="2"/>
      <c r="H11" s="2"/>
      <c r="I11" s="2"/>
      <c r="J11" s="2"/>
      <c r="K11" s="2"/>
      <c r="L11" s="2"/>
      <c r="M11" s="2"/>
      <c r="N11" s="2"/>
      <c r="O11" s="2"/>
      <c r="P11" s="2"/>
      <c r="Q11" s="2"/>
    </row>
    <row r="12" spans="1:22" ht="15" thickTop="1" thickBot="1" x14ac:dyDescent="0.3">
      <c r="A12" s="7"/>
      <c r="B12" s="7"/>
      <c r="C12" s="7"/>
      <c r="D12" s="7"/>
      <c r="E12" s="7"/>
      <c r="F12" s="2"/>
      <c r="G12" s="2"/>
      <c r="H12" s="2"/>
      <c r="I12" s="2"/>
      <c r="J12" s="2"/>
      <c r="K12" s="2"/>
      <c r="L12" s="2"/>
      <c r="M12" s="2"/>
      <c r="N12" s="2"/>
      <c r="O12" s="2"/>
      <c r="P12" s="2"/>
      <c r="Q12" s="2"/>
    </row>
    <row r="13" spans="1:22" ht="15" thickTop="1" thickBot="1" x14ac:dyDescent="0.3">
      <c r="A13" s="7" t="s">
        <v>11</v>
      </c>
      <c r="B13" s="140"/>
      <c r="C13" s="140"/>
      <c r="D13" s="140"/>
      <c r="E13" s="137"/>
      <c r="F13" s="2"/>
      <c r="G13" s="2"/>
      <c r="H13" s="2"/>
      <c r="I13" s="2"/>
      <c r="J13" s="2"/>
      <c r="K13" s="2"/>
      <c r="L13" s="2"/>
      <c r="M13" s="2"/>
      <c r="N13" s="2"/>
      <c r="O13" s="2"/>
      <c r="P13" s="2"/>
      <c r="Q13" s="2"/>
    </row>
    <row r="14" spans="1:22" ht="15" thickTop="1" thickBot="1" x14ac:dyDescent="0.3">
      <c r="A14" s="24" t="s">
        <v>105</v>
      </c>
      <c r="B14" s="145"/>
      <c r="C14" s="145"/>
      <c r="D14" s="145"/>
      <c r="E14" s="145"/>
      <c r="F14" s="2"/>
      <c r="G14" s="2"/>
      <c r="H14" s="11" t="s">
        <v>126</v>
      </c>
      <c r="I14" s="2"/>
      <c r="J14" s="2"/>
      <c r="K14" s="2"/>
      <c r="L14" s="2"/>
      <c r="M14" s="2"/>
      <c r="N14" s="2"/>
      <c r="O14" s="2"/>
      <c r="P14" s="2"/>
      <c r="Q14" s="2"/>
    </row>
    <row r="15" spans="1:22" ht="15" thickTop="1" thickBot="1" x14ac:dyDescent="0.3">
      <c r="A15" s="24" t="s">
        <v>197</v>
      </c>
      <c r="B15" s="145"/>
      <c r="C15" s="145"/>
      <c r="D15" s="145"/>
      <c r="E15" s="145"/>
      <c r="F15" s="2"/>
      <c r="G15" s="2"/>
      <c r="H15" s="11" t="s">
        <v>128</v>
      </c>
      <c r="I15" s="2"/>
      <c r="J15" s="2"/>
      <c r="K15" s="2"/>
      <c r="L15" s="2"/>
      <c r="M15" s="2"/>
      <c r="N15" s="2"/>
      <c r="O15" s="2"/>
      <c r="P15" s="2"/>
      <c r="Q15" s="2"/>
    </row>
    <row r="16" spans="1:22" ht="15" thickTop="1" thickBot="1" x14ac:dyDescent="0.3">
      <c r="A16" s="24" t="s">
        <v>106</v>
      </c>
      <c r="B16" s="146"/>
      <c r="C16" s="146"/>
      <c r="D16" s="146"/>
      <c r="E16" s="146"/>
      <c r="F16" s="2"/>
      <c r="G16" s="2"/>
      <c r="H16" s="2"/>
      <c r="I16" s="2"/>
      <c r="J16" s="2"/>
      <c r="K16" s="2"/>
      <c r="L16" s="2"/>
      <c r="M16" s="2"/>
      <c r="N16" s="2"/>
      <c r="O16" s="2"/>
      <c r="P16" s="2"/>
      <c r="Q16" s="2"/>
    </row>
    <row r="17" spans="1:17" ht="15" thickTop="1" thickBot="1" x14ac:dyDescent="0.3">
      <c r="A17" s="24"/>
      <c r="B17" s="24"/>
      <c r="C17" s="24"/>
      <c r="D17" s="24"/>
      <c r="E17" s="24"/>
      <c r="F17" s="24"/>
      <c r="G17" s="2"/>
      <c r="H17" s="2"/>
      <c r="I17" s="2"/>
      <c r="J17" s="2"/>
      <c r="K17" s="2"/>
      <c r="L17" s="2"/>
      <c r="M17" s="2"/>
      <c r="N17" s="2"/>
      <c r="O17" s="2"/>
      <c r="P17" s="2"/>
      <c r="Q17" s="2"/>
    </row>
    <row r="18" spans="1:17" ht="15" thickTop="1" thickBot="1" x14ac:dyDescent="0.3">
      <c r="A18" s="24" t="s">
        <v>106</v>
      </c>
      <c r="B18" s="146"/>
      <c r="C18" s="146"/>
      <c r="D18" s="146"/>
      <c r="E18" s="146"/>
      <c r="F18" s="2"/>
      <c r="G18" s="2"/>
      <c r="H18" s="2"/>
      <c r="I18" s="2"/>
      <c r="J18" s="2"/>
      <c r="K18" s="2"/>
      <c r="L18" s="2"/>
      <c r="M18" s="2"/>
      <c r="N18" s="2"/>
      <c r="O18" s="2"/>
      <c r="P18" s="2"/>
      <c r="Q18" s="2"/>
    </row>
    <row r="19" spans="1:17" ht="15" thickTop="1" thickBot="1" x14ac:dyDescent="0.3">
      <c r="A19" s="236" t="s">
        <v>307</v>
      </c>
      <c r="B19" s="237"/>
      <c r="C19" s="237"/>
      <c r="D19" s="237"/>
      <c r="E19" s="237"/>
      <c r="F19" s="2"/>
      <c r="G19" s="2"/>
      <c r="H19" s="2"/>
      <c r="I19" s="2"/>
      <c r="J19" s="2"/>
      <c r="K19" s="2"/>
      <c r="L19" s="2"/>
      <c r="M19" s="2"/>
      <c r="N19" s="2"/>
      <c r="O19" s="2"/>
      <c r="P19" s="2"/>
      <c r="Q19" s="2"/>
    </row>
    <row r="20" spans="1:17" ht="15" thickTop="1" thickBot="1" x14ac:dyDescent="0.3">
      <c r="A20" s="236" t="s">
        <v>308</v>
      </c>
      <c r="B20" s="237"/>
      <c r="C20" s="237"/>
      <c r="D20" s="237"/>
      <c r="E20" s="237"/>
      <c r="F20" s="2"/>
      <c r="G20" s="2"/>
      <c r="I20" s="2"/>
      <c r="J20" s="2"/>
      <c r="K20" s="2"/>
      <c r="L20" s="2"/>
      <c r="M20" s="2"/>
      <c r="N20" s="2"/>
      <c r="O20" s="2"/>
      <c r="P20" s="2"/>
      <c r="Q20" s="2"/>
    </row>
    <row r="21" spans="1:17" ht="15" thickTop="1" thickBot="1" x14ac:dyDescent="0.3">
      <c r="A21" s="24"/>
      <c r="B21" s="231"/>
      <c r="C21" s="231"/>
      <c r="D21" s="231"/>
      <c r="E21" s="231"/>
      <c r="F21" s="2"/>
      <c r="G21" s="2"/>
      <c r="I21" s="2"/>
      <c r="J21" s="2"/>
      <c r="K21" s="2"/>
      <c r="L21" s="2"/>
      <c r="M21" s="2"/>
      <c r="N21" s="2"/>
      <c r="O21" s="2"/>
      <c r="P21" s="2"/>
      <c r="Q21" s="2"/>
    </row>
    <row r="22" spans="1:17" ht="15" thickTop="1" thickBot="1" x14ac:dyDescent="0.3">
      <c r="A22" s="24" t="s">
        <v>107</v>
      </c>
      <c r="B22" s="142"/>
      <c r="C22" s="142"/>
      <c r="D22" s="142"/>
      <c r="E22" s="232"/>
      <c r="F22" s="2"/>
      <c r="G22" s="2"/>
      <c r="I22" s="2"/>
      <c r="J22" s="2"/>
      <c r="K22" s="2"/>
      <c r="L22" s="2"/>
      <c r="M22" s="2"/>
      <c r="N22" s="2"/>
      <c r="O22" s="2"/>
      <c r="P22" s="2"/>
      <c r="Q22" s="2"/>
    </row>
    <row r="23" spans="1:17" ht="15" thickTop="1" thickBot="1" x14ac:dyDescent="0.3">
      <c r="A23" s="24" t="s">
        <v>108</v>
      </c>
      <c r="B23" s="142"/>
      <c r="C23" s="142"/>
      <c r="D23" s="142"/>
      <c r="E23" s="232"/>
      <c r="F23" s="2"/>
      <c r="G23" s="2"/>
      <c r="H23" s="2"/>
      <c r="J23" s="2"/>
      <c r="K23" s="2"/>
      <c r="L23" s="2"/>
      <c r="M23" s="2"/>
      <c r="N23" s="2"/>
      <c r="O23" s="2"/>
      <c r="P23" s="2"/>
      <c r="Q23" s="2"/>
    </row>
    <row r="24" spans="1:17" ht="14.4" thickTop="1" x14ac:dyDescent="0.25">
      <c r="A24" s="2"/>
      <c r="B24" s="2"/>
      <c r="C24" s="2"/>
      <c r="D24" s="2"/>
      <c r="E24" s="2"/>
      <c r="F24" s="2"/>
      <c r="G24" s="2"/>
      <c r="H24" s="2"/>
      <c r="I24" s="2"/>
      <c r="J24" s="2"/>
      <c r="K24" s="2"/>
      <c r="L24" s="2"/>
      <c r="M24" s="2"/>
      <c r="N24" s="2"/>
      <c r="O24" s="2"/>
      <c r="P24" s="2"/>
      <c r="Q24" s="2"/>
    </row>
    <row r="25" spans="1:17" ht="13.8" x14ac:dyDescent="0.25">
      <c r="A25" s="2"/>
      <c r="F25" s="2"/>
    </row>
    <row r="26" spans="1:17" ht="13.8" x14ac:dyDescent="0.25">
      <c r="A26" s="28" t="s">
        <v>215</v>
      </c>
      <c r="B26" s="28" t="s">
        <v>216</v>
      </c>
      <c r="C26" s="11"/>
      <c r="D26" s="11"/>
      <c r="E26" s="11"/>
      <c r="F26" s="29"/>
      <c r="G26" s="29"/>
      <c r="H26" s="29"/>
      <c r="I26" s="29"/>
      <c r="J26" s="30" t="s">
        <v>217</v>
      </c>
    </row>
    <row r="27" spans="1:17" ht="13.8" x14ac:dyDescent="0.25">
      <c r="A27" s="2" t="s">
        <v>165</v>
      </c>
      <c r="B27" s="1" t="s">
        <v>171</v>
      </c>
      <c r="F27" s="2"/>
      <c r="J27" s="1" t="s">
        <v>185</v>
      </c>
    </row>
    <row r="28" spans="1:17" s="1" customFormat="1" ht="13.8" x14ac:dyDescent="0.25">
      <c r="A28" s="2" t="s">
        <v>183</v>
      </c>
      <c r="B28" s="1" t="s">
        <v>184</v>
      </c>
    </row>
    <row r="29" spans="1:17" ht="14.4" thickBot="1" x14ac:dyDescent="0.3">
      <c r="A29" s="2" t="s">
        <v>166</v>
      </c>
      <c r="B29" s="1" t="s">
        <v>172</v>
      </c>
      <c r="F29" s="2"/>
      <c r="J29" s="1" t="s">
        <v>186</v>
      </c>
    </row>
    <row r="30" spans="1:17" ht="14.4" thickBot="1" x14ac:dyDescent="0.3">
      <c r="A30" s="127" t="s">
        <v>167</v>
      </c>
      <c r="B30" s="128" t="s">
        <v>173</v>
      </c>
      <c r="C30" s="129"/>
      <c r="D30" s="129"/>
      <c r="E30" s="129"/>
      <c r="F30" s="130"/>
      <c r="G30" s="131"/>
      <c r="J30" s="1" t="s">
        <v>187</v>
      </c>
    </row>
    <row r="31" spans="1:17" s="18" customFormat="1" ht="13.8" thickBot="1" x14ac:dyDescent="0.3">
      <c r="A31" s="133" t="s">
        <v>174</v>
      </c>
      <c r="B31" s="132" t="s">
        <v>175</v>
      </c>
      <c r="C31" s="132"/>
      <c r="D31" s="132"/>
      <c r="E31" s="132"/>
      <c r="F31" s="22" t="s">
        <v>176</v>
      </c>
      <c r="G31" s="23"/>
    </row>
    <row r="32" spans="1:17" ht="13.8" x14ac:dyDescent="0.25">
      <c r="A32" s="2" t="s">
        <v>168</v>
      </c>
      <c r="B32" s="1" t="s">
        <v>294</v>
      </c>
      <c r="F32" s="2"/>
      <c r="J32" s="1" t="s">
        <v>188</v>
      </c>
    </row>
    <row r="33" spans="1:10" ht="13.8" x14ac:dyDescent="0.25">
      <c r="A33" s="2" t="s">
        <v>169</v>
      </c>
      <c r="B33" s="1" t="s">
        <v>177</v>
      </c>
      <c r="J33" s="1" t="s">
        <v>189</v>
      </c>
    </row>
    <row r="34" spans="1:10" ht="13.8" x14ac:dyDescent="0.25">
      <c r="A34" s="2" t="s">
        <v>178</v>
      </c>
      <c r="B34" s="1" t="s">
        <v>179</v>
      </c>
    </row>
    <row r="35" spans="1:10" ht="13.8" x14ac:dyDescent="0.25">
      <c r="A35" s="2" t="s">
        <v>170</v>
      </c>
      <c r="B35" s="1" t="s">
        <v>180</v>
      </c>
      <c r="J35" s="1" t="s">
        <v>190</v>
      </c>
    </row>
    <row r="36" spans="1:10" ht="13.8" x14ac:dyDescent="0.25">
      <c r="A36" s="2" t="s">
        <v>181</v>
      </c>
      <c r="B36" s="1" t="s">
        <v>182</v>
      </c>
    </row>
    <row r="37" spans="1:10" ht="13.8" x14ac:dyDescent="0.25">
      <c r="A37" s="2"/>
    </row>
    <row r="38" spans="1:10" ht="13.8" x14ac:dyDescent="0.25">
      <c r="A38" s="2" t="s">
        <v>191</v>
      </c>
      <c r="B38" s="1" t="s">
        <v>196</v>
      </c>
      <c r="J38" s="1" t="s">
        <v>198</v>
      </c>
    </row>
    <row r="39" spans="1:10" ht="13.8" x14ac:dyDescent="0.25">
      <c r="A39" s="2" t="s">
        <v>192</v>
      </c>
      <c r="B39" s="1" t="s">
        <v>197</v>
      </c>
      <c r="J39" s="1" t="s">
        <v>199</v>
      </c>
    </row>
    <row r="40" spans="1:10" ht="13.8" x14ac:dyDescent="0.25">
      <c r="A40" s="2"/>
      <c r="B40" s="1"/>
      <c r="J40" s="1" t="s">
        <v>200</v>
      </c>
    </row>
    <row r="41" spans="1:10" ht="13.8" x14ac:dyDescent="0.25">
      <c r="A41" s="2"/>
      <c r="B41" s="1"/>
      <c r="J41" s="1" t="s">
        <v>201</v>
      </c>
    </row>
    <row r="42" spans="1:10" ht="13.8" x14ac:dyDescent="0.25">
      <c r="A42" s="2"/>
      <c r="B42" s="1"/>
      <c r="J42" s="1" t="s">
        <v>202</v>
      </c>
    </row>
    <row r="43" spans="1:10" ht="13.8" x14ac:dyDescent="0.25">
      <c r="A43" s="2" t="s">
        <v>193</v>
      </c>
      <c r="B43" s="2" t="s">
        <v>194</v>
      </c>
    </row>
    <row r="44" spans="1:10" ht="13.8" x14ac:dyDescent="0.25">
      <c r="A44" s="2" t="s">
        <v>203</v>
      </c>
      <c r="B44" s="1" t="s">
        <v>195</v>
      </c>
    </row>
  </sheetData>
  <printOptions horizontalCentered="1" verticalCentered="1" gridLines="1"/>
  <pageMargins left="0.7" right="0.7" top="0.75" bottom="0.75" header="0.3" footer="0.3"/>
  <pageSetup scale="68" orientation="landscape"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Cover Sheet</vt:lpstr>
      <vt:lpstr>Instructions</vt:lpstr>
      <vt:lpstr>1-Hist</vt:lpstr>
      <vt:lpstr>2-IS</vt:lpstr>
      <vt:lpstr>3-BS</vt:lpstr>
      <vt:lpstr>4-SCF</vt:lpstr>
      <vt:lpstr>1-Short-Term</vt:lpstr>
      <vt:lpstr>2-Long-Term</vt:lpstr>
      <vt:lpstr>3-Profitability</vt:lpstr>
      <vt:lpstr>4-DuPont Analysis</vt:lpstr>
      <vt:lpstr>5-Stock</vt:lpstr>
      <vt:lpstr>'1-Hist'!Print_Area</vt:lpstr>
      <vt:lpstr>'1-Short-Term'!Print_Area</vt:lpstr>
      <vt:lpstr>'2-IS'!Print_Area</vt:lpstr>
      <vt:lpstr>'2-Long-Term'!Print_Area</vt:lpstr>
      <vt:lpstr>'3-BS'!Print_Area</vt:lpstr>
      <vt:lpstr>'3-Profitability'!Print_Area</vt:lpstr>
      <vt:lpstr>'4-DuPont Analysis'!Print_Area</vt:lpstr>
      <vt:lpstr>'4-SCF'!Print_Area</vt:lpstr>
      <vt:lpstr>'5-Stock'!Print_Area</vt:lpstr>
    </vt:vector>
  </TitlesOfParts>
  <Company>Thomson Reuters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Generated by Thomson Reuters</dc:subject>
  <dc:creator>Andrew Felo</dc:creator>
  <cp:lastModifiedBy>Allen Yessman</cp:lastModifiedBy>
  <cp:lastPrinted>2016-11-01T14:50:26Z</cp:lastPrinted>
  <dcterms:created xsi:type="dcterms:W3CDTF">2012-10-01T21:33:01Z</dcterms:created>
  <dcterms:modified xsi:type="dcterms:W3CDTF">2017-04-28T21:19:46Z</dcterms:modified>
</cp:coreProperties>
</file>